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Y:\Documents\ADVISING DOCS\ADVISOR WEBSITE\"/>
    </mc:Choice>
  </mc:AlternateContent>
  <xr:revisionPtr revIDLastSave="0" documentId="8_{B07F1034-AB80-47DB-A785-06197DE1B73B}" xr6:coauthVersionLast="36" xr6:coauthVersionMax="36" xr10:uidLastSave="{00000000-0000-0000-0000-000000000000}"/>
  <bookViews>
    <workbookView xWindow="-28920" yWindow="-120" windowWidth="29040" windowHeight="15840" tabRatio="706" xr2:uid="{00000000-000D-0000-FFFF-FFFF00000000}"/>
  </bookViews>
  <sheets>
    <sheet name="Start Here!" sheetId="7" r:id="rId1"/>
    <sheet name="GPA Goals" sheetId="1" r:id="rId2"/>
    <sheet name="Repeats" sheetId="5" r:id="rId3"/>
    <sheet name="Major-Minor" sheetId="14" r:id="rId4"/>
    <sheet name="Lottery" sheetId="13" r:id="rId5"/>
    <sheet name="Manual calc" sheetId="9" r:id="rId6"/>
    <sheet name="Fresh Start" sheetId="10" r:id="rId7"/>
    <sheet name="FinAid %" sheetId="15" r:id="rId8"/>
    <sheet name="Nursing" sheetId="11" r:id="rId9"/>
    <sheet name="Data Points" sheetId="3" r:id="rId10"/>
  </sheets>
  <externalReferences>
    <externalReference r:id="rId11"/>
    <externalReference r:id="rId12"/>
  </externalReferences>
  <definedNames>
    <definedName name="_xlnm._FilterDatabase" localSheetId="4" hidden="1">Lottery!$F$8:$F$9</definedName>
    <definedName name="_xlnm.Print_Area" localSheetId="7">'FinAid %'!$A:$F</definedName>
    <definedName name="_xlnm.Print_Area" localSheetId="6">'Fresh Start'!$A:$G</definedName>
    <definedName name="_xlnm.Print_Area" localSheetId="1">'GPA Goals'!$A:$H</definedName>
    <definedName name="_xlnm.Print_Area" localSheetId="4">Lottery!$A:$E</definedName>
    <definedName name="_xlnm.Print_Area" localSheetId="3">'Major-Minor'!$A$1:$G$55</definedName>
    <definedName name="_xlnm.Print_Area" localSheetId="5">'Manual calc'!$A:$L</definedName>
    <definedName name="_xlnm.Print_Area" localSheetId="8">Nursing!$A$1:$G$23</definedName>
    <definedName name="_xlnm.Print_Area" localSheetId="2">Repeats!$A:$G</definedName>
    <definedName name="Task">[1]!Task</definedName>
    <definedName name="Tasks">'[2]Timeline Messages'!$B:$B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 i="10" l="1"/>
  <c r="A5" i="10"/>
  <c r="A6" i="9"/>
  <c r="A5" i="9"/>
  <c r="A6" i="1"/>
  <c r="A5" i="1"/>
  <c r="G9" i="7"/>
  <c r="A5" i="7" l="1"/>
  <c r="A6" i="7"/>
  <c r="A5" i="5"/>
  <c r="A6" i="5"/>
  <c r="A7" i="7"/>
  <c r="D26" i="14"/>
  <c r="D25" i="14"/>
  <c r="D24" i="14"/>
  <c r="D23" i="14"/>
  <c r="D22" i="14"/>
  <c r="D28" i="14"/>
  <c r="D27" i="14"/>
  <c r="D21" i="14"/>
  <c r="D20" i="14"/>
  <c r="D19" i="14"/>
  <c r="D18" i="14"/>
  <c r="D17" i="14"/>
  <c r="D16" i="14"/>
  <c r="D15" i="14"/>
  <c r="D14" i="14"/>
  <c r="D13" i="14"/>
  <c r="B37" i="10" l="1"/>
  <c r="B17" i="1"/>
  <c r="B23" i="1"/>
  <c r="B29" i="1"/>
  <c r="B17" i="15"/>
  <c r="B2" i="15" l="1"/>
  <c r="B1" i="15"/>
  <c r="B18" i="15"/>
  <c r="D10" i="15"/>
  <c r="B10" i="15" s="1"/>
  <c r="F11" i="15" s="1"/>
  <c r="A12" i="15" s="1"/>
  <c r="F2" i="15"/>
  <c r="F1" i="15"/>
  <c r="D5" i="15"/>
  <c r="D25" i="13"/>
  <c r="D15" i="13"/>
  <c r="D14" i="13"/>
  <c r="D20" i="13" s="1"/>
  <c r="D13" i="13"/>
  <c r="D12" i="13"/>
  <c r="D11" i="13"/>
  <c r="E2" i="13"/>
  <c r="A2" i="13"/>
  <c r="E1" i="13"/>
  <c r="A1" i="13"/>
  <c r="D47" i="13"/>
  <c r="D19" i="13"/>
  <c r="D6" i="13"/>
  <c r="D5" i="13"/>
  <c r="D31" i="13" s="1"/>
  <c r="D37" i="13" s="1"/>
  <c r="L20" i="13"/>
  <c r="L21" i="13" s="1"/>
  <c r="L17" i="13"/>
  <c r="B31" i="13"/>
  <c r="B37" i="13" s="1"/>
  <c r="C34" i="11"/>
  <c r="B34" i="11"/>
  <c r="D34" i="11" s="1"/>
  <c r="D33" i="11"/>
  <c r="D32" i="11"/>
  <c r="D31" i="11"/>
  <c r="D30" i="11"/>
  <c r="D29" i="11"/>
  <c r="D28" i="11"/>
  <c r="D26" i="5"/>
  <c r="D13" i="5"/>
  <c r="D14" i="5"/>
  <c r="D15" i="5"/>
  <c r="D16" i="5"/>
  <c r="D17" i="5"/>
  <c r="D18" i="5"/>
  <c r="D19" i="5"/>
  <c r="B1" i="1"/>
  <c r="B2" i="1"/>
  <c r="H1" i="1"/>
  <c r="H2" i="1"/>
  <c r="B1" i="5"/>
  <c r="B6" i="1"/>
  <c r="D44" i="5"/>
  <c r="B43" i="5"/>
  <c r="G2" i="14"/>
  <c r="B2" i="14"/>
  <c r="G1" i="14"/>
  <c r="B1" i="14"/>
  <c r="D32" i="14"/>
  <c r="D31" i="14"/>
  <c r="D30" i="14"/>
  <c r="D29" i="14"/>
  <c r="D12" i="14"/>
  <c r="D11" i="14"/>
  <c r="D10" i="14"/>
  <c r="D9" i="14"/>
  <c r="D8" i="14"/>
  <c r="D48" i="14"/>
  <c r="P33" i="14"/>
  <c r="P38" i="14" s="1"/>
  <c r="B21" i="11"/>
  <c r="B9" i="11"/>
  <c r="G2" i="11"/>
  <c r="B2" i="11"/>
  <c r="G1" i="11"/>
  <c r="B1" i="11"/>
  <c r="C6" i="7"/>
  <c r="D5" i="5" s="1"/>
  <c r="D11" i="10"/>
  <c r="D12" i="10"/>
  <c r="D13" i="10"/>
  <c r="D14" i="10"/>
  <c r="D15" i="10"/>
  <c r="D16" i="10"/>
  <c r="D17" i="10"/>
  <c r="D18" i="10"/>
  <c r="D19" i="10"/>
  <c r="D20" i="10"/>
  <c r="D21" i="10"/>
  <c r="D22" i="10"/>
  <c r="D23" i="10"/>
  <c r="D32" i="10"/>
  <c r="D10" i="10"/>
  <c r="B6" i="10"/>
  <c r="B5" i="10"/>
  <c r="P17" i="10" s="1"/>
  <c r="G2" i="10"/>
  <c r="B2" i="10"/>
  <c r="G1" i="10"/>
  <c r="B1" i="10"/>
  <c r="F10" i="9"/>
  <c r="F11" i="9"/>
  <c r="F12" i="9"/>
  <c r="F13" i="9"/>
  <c r="F14" i="9"/>
  <c r="F15" i="9"/>
  <c r="F19" i="9"/>
  <c r="H24" i="9" s="1"/>
  <c r="I24" i="9" s="1"/>
  <c r="F20" i="9"/>
  <c r="F21" i="9"/>
  <c r="F22" i="9"/>
  <c r="F23" i="9"/>
  <c r="F24" i="9"/>
  <c r="F28" i="9"/>
  <c r="F29" i="9"/>
  <c r="F30" i="9"/>
  <c r="F31" i="9"/>
  <c r="F32" i="9"/>
  <c r="F33" i="9"/>
  <c r="F37" i="9"/>
  <c r="F38" i="9"/>
  <c r="H42" i="9" s="1"/>
  <c r="I42" i="9" s="1"/>
  <c r="F39" i="9"/>
  <c r="F40" i="9"/>
  <c r="F41" i="9"/>
  <c r="F42" i="9"/>
  <c r="D46" i="9"/>
  <c r="D47" i="9"/>
  <c r="D48" i="9"/>
  <c r="D49" i="9"/>
  <c r="D50" i="9"/>
  <c r="D51" i="9"/>
  <c r="G15" i="9"/>
  <c r="G24" i="9"/>
  <c r="G33" i="9"/>
  <c r="G42" i="9"/>
  <c r="B6" i="9"/>
  <c r="B5" i="9"/>
  <c r="J15" i="9" s="1"/>
  <c r="J24" i="9" s="1"/>
  <c r="J33" i="9" s="1"/>
  <c r="J42" i="9" s="1"/>
  <c r="Q52" i="9" s="1"/>
  <c r="F2" i="9"/>
  <c r="B2" i="9"/>
  <c r="F1" i="9"/>
  <c r="B1" i="9"/>
  <c r="B6" i="5"/>
  <c r="B5" i="5"/>
  <c r="P10" i="5" s="1"/>
  <c r="B5" i="1"/>
  <c r="D31" i="5"/>
  <c r="D30" i="5"/>
  <c r="D29" i="5"/>
  <c r="D28" i="5"/>
  <c r="D27" i="5"/>
  <c r="D12" i="5"/>
  <c r="D11" i="5"/>
  <c r="D10" i="5"/>
  <c r="D40" i="5"/>
  <c r="D29" i="1"/>
  <c r="D23" i="1"/>
  <c r="D17" i="1"/>
  <c r="B11" i="1"/>
  <c r="B12" i="1" s="1"/>
  <c r="F12" i="1" s="1"/>
  <c r="G1" i="5"/>
  <c r="G2" i="5"/>
  <c r="B2" i="5"/>
  <c r="B30" i="1"/>
  <c r="F30" i="1" s="1"/>
  <c r="B18" i="1"/>
  <c r="F18" i="1" s="1"/>
  <c r="B24" i="1"/>
  <c r="F24" i="1" s="1"/>
  <c r="D7" i="13" l="1"/>
  <c r="L19" i="13" s="1"/>
  <c r="D21" i="13"/>
  <c r="H33" i="9"/>
  <c r="I33" i="9" s="1"/>
  <c r="H15" i="9"/>
  <c r="D34" i="13"/>
  <c r="P51" i="14"/>
  <c r="P52" i="14" s="1"/>
  <c r="D34" i="14"/>
  <c r="P18" i="10"/>
  <c r="B32" i="10" s="1"/>
  <c r="D11" i="1"/>
  <c r="D5" i="9"/>
  <c r="D5" i="10"/>
  <c r="D21" i="5"/>
  <c r="D5" i="1"/>
  <c r="B13" i="11"/>
  <c r="B15" i="11" s="1"/>
  <c r="D22" i="5"/>
  <c r="D40" i="13"/>
  <c r="L22" i="13"/>
  <c r="I15" i="9"/>
  <c r="K15" i="9"/>
  <c r="L18" i="13"/>
  <c r="D27" i="13" s="1"/>
  <c r="P11" i="5"/>
  <c r="D33" i="5" s="1"/>
  <c r="B19" i="15"/>
  <c r="A21" i="15" s="1"/>
  <c r="P34" i="14"/>
  <c r="B48" i="14" s="1"/>
  <c r="P29" i="14"/>
  <c r="B47" i="13" l="1"/>
  <c r="B39" i="10"/>
  <c r="B54" i="14"/>
  <c r="B40" i="5"/>
  <c r="B41" i="5" s="1"/>
  <c r="D25" i="10"/>
  <c r="D37" i="10"/>
  <c r="F20" i="15"/>
  <c r="B40" i="13"/>
  <c r="B34" i="13"/>
  <c r="P44" i="14"/>
  <c r="P39" i="14"/>
  <c r="D41" i="14" s="1"/>
  <c r="B44" i="5"/>
  <c r="B45" i="5" s="1"/>
  <c r="B46" i="5" s="1"/>
  <c r="K24" i="9"/>
  <c r="L15" i="9"/>
  <c r="K33" i="9" l="1"/>
  <c r="L24" i="9"/>
  <c r="P45" i="14"/>
  <c r="K42" i="9" l="1"/>
  <c r="L33" i="9"/>
  <c r="L42" i="9" l="1"/>
  <c r="Q53" i="9"/>
  <c r="D5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I4" authorId="0" shapeId="0" xr:uid="{00000000-0006-0000-0000-000001000000}">
      <text>
        <r>
          <rPr>
            <b/>
            <sz val="9"/>
            <color indexed="81"/>
            <rFont val="Tahoma"/>
            <family val="2"/>
          </rPr>
          <t>Bonnie Mccarty:</t>
        </r>
        <r>
          <rPr>
            <sz val="9"/>
            <color indexed="81"/>
            <rFont val="Tahoma"/>
            <family val="2"/>
          </rPr>
          <t xml:space="preserve">
Advisor instructions: 
Fill in the green spots; the blue will calculate automatically.
Fill in the demographic and GPA info here. This info will then automatically be pulled into the other worksheets.
Go to the tab that matches the calculations you want to perform.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H3" authorId="0" shapeId="0" xr:uid="{00000000-0006-0000-0100-000001000000}">
      <text>
        <r>
          <rPr>
            <b/>
            <sz val="9"/>
            <color indexed="81"/>
            <rFont val="Tahoma"/>
            <family val="2"/>
          </rPr>
          <t>Bonnie Mccarty:</t>
        </r>
        <r>
          <rPr>
            <sz val="9"/>
            <color indexed="81"/>
            <rFont val="Tahoma"/>
            <family val="2"/>
          </rPr>
          <t xml:space="preserve">
Advisor instructions: Fill in the green spots; the blue will calculate automatically or pull from "Start Here!". Use yellow spaces to add notes.</t>
        </r>
      </text>
    </comment>
    <comment ref="F8" authorId="0" shapeId="0" xr:uid="{00000000-0006-0000-0100-000002000000}">
      <text>
        <r>
          <rPr>
            <b/>
            <sz val="9"/>
            <color indexed="81"/>
            <rFont val="Tahoma"/>
            <family val="2"/>
          </rPr>
          <t>Bonnie Mccarty:</t>
        </r>
        <r>
          <rPr>
            <sz val="9"/>
            <color indexed="81"/>
            <rFont val="Tahoma"/>
            <family val="2"/>
          </rPr>
          <t xml:space="preserve">
Use this section if you need to know what grades a student needs, to get to a certain GPA after taking a certain number of hours.</t>
        </r>
      </text>
    </comment>
    <comment ref="F14" authorId="0" shapeId="0" xr:uid="{00000000-0006-0000-0100-000003000000}">
      <text>
        <r>
          <rPr>
            <b/>
            <sz val="9"/>
            <color indexed="81"/>
            <rFont val="Tahoma"/>
            <family val="2"/>
          </rPr>
          <t>Bonnie Mccarty:</t>
        </r>
        <r>
          <rPr>
            <sz val="9"/>
            <color indexed="81"/>
            <rFont val="Tahoma"/>
            <family val="2"/>
          </rPr>
          <t xml:space="preserve">
B1, B2, and B3 are all the same calculator, but with 3 different GPAs to make comparisons easy.  Use this section (B1 or B2 or B3) if you need to know how many hours the student would need to take to reach a certain GPA.  The "Projected GPA" part is what GPA the student *thinks* they can earn from this point on.  If they think they can get straight As you'll put 4.0, if straight Bs put 3.0, and so 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G3" authorId="0" shapeId="0" xr:uid="{00000000-0006-0000-0200-000001000000}">
      <text>
        <r>
          <rPr>
            <b/>
            <sz val="9"/>
            <color indexed="81"/>
            <rFont val="Tahoma"/>
            <family val="2"/>
          </rPr>
          <t>Bonnie Mccarty:</t>
        </r>
        <r>
          <rPr>
            <sz val="9"/>
            <color indexed="81"/>
            <rFont val="Tahoma"/>
            <family val="2"/>
          </rPr>
          <t xml:space="preserve">
Advisor instructions: Fill in the green spots; the blue will calculate automatically or pull from "Start Here!". Use yellow spaces to add notes.</t>
        </r>
      </text>
    </comment>
    <comment ref="E8" authorId="0" shapeId="0" xr:uid="{00000000-0006-0000-0200-000002000000}">
      <text>
        <r>
          <rPr>
            <b/>
            <sz val="9"/>
            <color indexed="81"/>
            <rFont val="Tahoma"/>
            <family val="2"/>
          </rPr>
          <t>Bonnie Mccarty:</t>
        </r>
        <r>
          <rPr>
            <sz val="9"/>
            <color indexed="81"/>
            <rFont val="Tahoma"/>
            <family val="2"/>
          </rPr>
          <t xml:space="preserve">
List the grades expected for each class the student is taking this semester. If the student expects a P, N, I, or W, please leave the grade and hours blank.  </t>
        </r>
      </text>
    </comment>
    <comment ref="E24" authorId="0" shapeId="0" xr:uid="{00000000-0006-0000-0200-000003000000}">
      <text>
        <r>
          <rPr>
            <b/>
            <sz val="9"/>
            <color indexed="81"/>
            <rFont val="Tahoma"/>
            <family val="2"/>
          </rPr>
          <t>Bonnie Mccarty:</t>
        </r>
        <r>
          <rPr>
            <sz val="9"/>
            <color indexed="81"/>
            <rFont val="Tahoma"/>
            <family val="2"/>
          </rPr>
          <t xml:space="preserve">
Is the student repeating any classes</t>
        </r>
        <r>
          <rPr>
            <i/>
            <sz val="9"/>
            <color indexed="81"/>
            <rFont val="Tahoma"/>
            <family val="2"/>
          </rPr>
          <t xml:space="preserve"> for the first time </t>
        </r>
        <r>
          <rPr>
            <sz val="9"/>
            <color indexed="81"/>
            <rFont val="Tahoma"/>
            <family val="2"/>
          </rPr>
          <t>this semester? If so, list the classes and the earlier grade which will be excluded. If the student originally had an N or W or if this is a 2nd or higher repeat (that is, the student has now taken it 3 or more times), please do not list that class here; repeating it does cause the earlier grade to be excluded from GPA since it was never included, as an N or 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G5" authorId="0" shapeId="0" xr:uid="{00000000-0006-0000-0300-000001000000}">
      <text>
        <r>
          <rPr>
            <b/>
            <sz val="9"/>
            <color indexed="81"/>
            <rFont val="Tahoma"/>
            <family val="2"/>
          </rPr>
          <t>Bonnie Mccarty:</t>
        </r>
        <r>
          <rPr>
            <sz val="9"/>
            <color indexed="81"/>
            <rFont val="Tahoma"/>
            <family val="2"/>
          </rPr>
          <t xml:space="preserve">
Advisor instructions: Fill in the green spots; the blue will calculate automatically or pull from "Student Info". Use yellow spaces to add notes. 
Need calculations for other majors/minors?  Right click on the tab, "Move or Copy", "Create a Copy", OK.</t>
        </r>
      </text>
    </comment>
    <comment ref="E6" authorId="0" shapeId="0" xr:uid="{00000000-0006-0000-0300-000002000000}">
      <text>
        <r>
          <rPr>
            <b/>
            <sz val="9"/>
            <color indexed="81"/>
            <rFont val="Tahoma"/>
            <family val="2"/>
          </rPr>
          <t>Bonnie Mccarty:</t>
        </r>
        <r>
          <rPr>
            <sz val="9"/>
            <color indexed="81"/>
            <rFont val="Tahoma"/>
            <family val="2"/>
          </rPr>
          <t xml:space="preserve">
List the grades already earned by the student, or expected for each class the student is taking now or in the future. 
If you run out of room, you can combine grades (e.g., List 9 hours of As earned and 6 hours of Bs expected this fall, instead of individual courses). 
If the student expects a P, N, I, or W, please leave the grade and hours blank.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F3" authorId="0" shapeId="0" xr:uid="{00000000-0006-0000-0400-000001000000}">
      <text>
        <r>
          <rPr>
            <sz val="9"/>
            <color indexed="81"/>
            <rFont val="Tahoma"/>
            <family val="2"/>
          </rPr>
          <t>Advisor instructions: Fill in the green spots; the blue will calculate automatically or pull from "Start Here!". Use yellow spaces to add notes.</t>
        </r>
      </text>
    </comment>
    <comment ref="E4" authorId="0" shapeId="0" xr:uid="{00000000-0006-0000-0400-000002000000}">
      <text>
        <r>
          <rPr>
            <b/>
            <sz val="9"/>
            <color indexed="81"/>
            <rFont val="Tahoma"/>
            <family val="2"/>
          </rPr>
          <t xml:space="preserve">Important:
</t>
        </r>
        <r>
          <rPr>
            <sz val="9"/>
            <color indexed="81"/>
            <rFont val="Tahoma"/>
            <family val="2"/>
          </rPr>
          <t>Pull these figures from the Lottery GPA section of the Student GPA info in Pipeline!</t>
        </r>
      </text>
    </comment>
    <comment ref="E9" authorId="0" shapeId="0" xr:uid="{00000000-0006-0000-0400-000003000000}">
      <text>
        <r>
          <rPr>
            <b/>
            <sz val="9"/>
            <color indexed="81"/>
            <rFont val="Tahoma"/>
            <family val="2"/>
          </rPr>
          <t>Bonnie Mccarty:</t>
        </r>
        <r>
          <rPr>
            <sz val="9"/>
            <color indexed="81"/>
            <rFont val="Tahoma"/>
            <family val="2"/>
          </rPr>
          <t xml:space="preserve">
List the grades expected for each class the student is taking this semester. 
** If the student expects a P, N, or W, add up the total of this type of hours (classes that will count in attempted hours but not GPA) and put it in the "Ahrs but not GPA" box. **</t>
        </r>
      </text>
    </comment>
    <comment ref="E23" authorId="0" shapeId="0" xr:uid="{00000000-0006-0000-0400-000004000000}">
      <text>
        <r>
          <rPr>
            <sz val="9"/>
            <color indexed="81"/>
            <rFont val="Tahoma"/>
            <family val="2"/>
          </rPr>
          <t>The lottery scholarship rules state that all grades (after high school graduation) count in the GPA, even those later repeated and excluded for institutional purposes. However, each student may use a one-time-only Repeat Option to have a single repeated grade excluded from the lottery GPA.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G3" authorId="0" shapeId="0" xr:uid="{00000000-0006-0000-0500-000001000000}">
      <text>
        <r>
          <rPr>
            <b/>
            <sz val="9"/>
            <color indexed="81"/>
            <rFont val="Tahoma"/>
            <family val="2"/>
          </rPr>
          <t>Bonnie Mccarty:</t>
        </r>
        <r>
          <rPr>
            <sz val="9"/>
            <color indexed="81"/>
            <rFont val="Tahoma"/>
            <family val="2"/>
          </rPr>
          <t xml:space="preserve">
Advisor instructions: Fill in the green spots; the blue will calculate automatically or pull from "Start Here!". Use yellow spaces to add notes.</t>
        </r>
      </text>
    </comment>
    <comment ref="H6" authorId="0" shapeId="0" xr:uid="{00000000-0006-0000-0500-000002000000}">
      <text>
        <r>
          <rPr>
            <sz val="9"/>
            <color indexed="81"/>
            <rFont val="Tahoma"/>
            <family val="2"/>
          </rPr>
          <t>Answer Yes if you want the current GPA hours and quality points to be included in the the GPA calculations below. This is helpful if the data below is projections of future classes and grades, to predict a future cumulative GPA.</t>
        </r>
      </text>
    </comment>
    <comment ref="B9" authorId="0" shapeId="0" xr:uid="{00000000-0006-0000-0500-000003000000}">
      <text>
        <r>
          <rPr>
            <sz val="9"/>
            <color indexed="81"/>
            <rFont val="Tahoma"/>
            <family val="2"/>
          </rPr>
          <t xml:space="preserve">List the grades expected for each class the student is taking this semester. If the student expects a P, N, I, or W, please leave the grade and hours blank. </t>
        </r>
      </text>
    </comment>
    <comment ref="D9" authorId="0" shapeId="0" xr:uid="{00000000-0006-0000-0500-000004000000}">
      <text>
        <r>
          <rPr>
            <sz val="9"/>
            <color indexed="81"/>
            <rFont val="Tahoma"/>
            <family val="2"/>
          </rPr>
          <t xml:space="preserve">If this class was later repeated and therefore this grade should be excluded from the GPA, place an </t>
        </r>
        <r>
          <rPr>
            <b/>
            <sz val="9"/>
            <color indexed="81"/>
            <rFont val="Tahoma"/>
            <family val="2"/>
          </rPr>
          <t>X</t>
        </r>
        <r>
          <rPr>
            <sz val="9"/>
            <color indexed="81"/>
            <rFont val="Tahoma"/>
            <family val="2"/>
          </rPr>
          <t xml:space="preserve"> here. Otherwise, leave this field blank. (You can enter </t>
        </r>
        <r>
          <rPr>
            <b/>
            <sz val="9"/>
            <color indexed="81"/>
            <rFont val="Tahoma"/>
            <family val="2"/>
          </rPr>
          <t>I</t>
        </r>
        <r>
          <rPr>
            <sz val="9"/>
            <color indexed="81"/>
            <rFont val="Tahoma"/>
            <family val="2"/>
          </rPr>
          <t xml:space="preserve"> for "include" if you wish, but it doesn't change the calculation in any way.)</t>
        </r>
      </text>
    </comment>
    <comment ref="E44" authorId="0" shapeId="0" xr:uid="{00000000-0006-0000-0500-000005000000}">
      <text>
        <r>
          <rPr>
            <b/>
            <sz val="9"/>
            <color indexed="81"/>
            <rFont val="Tahoma"/>
            <family val="2"/>
          </rPr>
          <t>Bonnie Mccarty:</t>
        </r>
        <r>
          <rPr>
            <sz val="9"/>
            <color indexed="81"/>
            <rFont val="Tahoma"/>
            <family val="2"/>
          </rPr>
          <t xml:space="preserve">
Is the student repeating any classes</t>
        </r>
        <r>
          <rPr>
            <i/>
            <sz val="9"/>
            <color indexed="81"/>
            <rFont val="Tahoma"/>
            <family val="2"/>
          </rPr>
          <t xml:space="preserve"> for the first time </t>
        </r>
        <r>
          <rPr>
            <sz val="9"/>
            <color indexed="81"/>
            <rFont val="Tahoma"/>
            <family val="2"/>
          </rPr>
          <t xml:space="preserve">in one of the semesters above? If so, list the classes and the earlier grade which will be excluded. 
If this is a 2nd or higher repeat (that is, the student has now taken it 3 or more times), do not list the class here. The 1st grade has already been excluded from the current GPA, and no further retakes will be excluded per MTSU policy.
If the student originally had an N or W, please do not list that class here; repeating it does not cause the earlier grade to be excluded from GPA since it was never included.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G3" authorId="0" shapeId="0" xr:uid="{00000000-0006-0000-0600-000001000000}">
      <text>
        <r>
          <rPr>
            <b/>
            <sz val="9"/>
            <color indexed="81"/>
            <rFont val="Tahoma"/>
            <family val="2"/>
          </rPr>
          <t>Bonnie Mccarty:</t>
        </r>
        <r>
          <rPr>
            <sz val="9"/>
            <color indexed="81"/>
            <rFont val="Tahoma"/>
            <family val="2"/>
          </rPr>
          <t xml:space="preserve">
Advisor instructions: Fill in the green spots; the blue will calculate automatically or pull from "Start Here!" 
Use yellow spaces to add notes.</t>
        </r>
      </text>
    </comment>
    <comment ref="E8" authorId="0" shapeId="0" xr:uid="{00000000-0006-0000-0600-000002000000}">
      <text>
        <r>
          <rPr>
            <b/>
            <sz val="9"/>
            <color indexed="81"/>
            <rFont val="Tahoma"/>
            <family val="2"/>
          </rPr>
          <t>Bonnie Mccarty:</t>
        </r>
        <r>
          <rPr>
            <sz val="9"/>
            <color indexed="81"/>
            <rFont val="Tahoma"/>
            <family val="2"/>
          </rPr>
          <t xml:space="preserve">
Has the student had a break of enrollment (in </t>
        </r>
        <r>
          <rPr>
            <i/>
            <sz val="9"/>
            <color indexed="81"/>
            <rFont val="Tahoma"/>
            <family val="2"/>
          </rPr>
          <t>any</t>
        </r>
        <r>
          <rPr>
            <sz val="9"/>
            <color indexed="81"/>
            <rFont val="Tahoma"/>
            <family val="2"/>
          </rPr>
          <t xml:space="preserve"> post-secondary institution) of at least 4 years? Is the student otherwise eligible for Academic Fresh Start? If so, list the classes and grades which are expected to be excluded. 
Reminders: 
--All eligible Fs can be excluded.  Ds can be excluded only if the degree program requires C-s or better.
--Only courses that count toward the current degree program can be excluded. (updated 2/2017)
--Academic Fresh Start has no impact on a course that has already been repeated; if it is listed as excluded on the transcript, do not list it here.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B5" authorId="0" shapeId="0" xr:uid="{00000000-0006-0000-0800-000001000000}">
      <text>
        <r>
          <rPr>
            <sz val="9"/>
            <color indexed="81"/>
            <rFont val="Tahoma"/>
            <family val="2"/>
          </rPr>
          <t>Look at Banner SHATERM to get the number of attempted and passed hours in the Overall Combined row.</t>
        </r>
      </text>
    </comment>
    <comment ref="B9" authorId="0" shapeId="0" xr:uid="{00000000-0006-0000-0800-000002000000}">
      <text>
        <r>
          <rPr>
            <sz val="9"/>
            <color indexed="81"/>
            <rFont val="Tahoma"/>
            <family val="2"/>
          </rPr>
          <t xml:space="preserve">How many hours is the student enrolled in for this semester?  Be sure to include any classes they've already dropped and gotten a W for!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Bonnie Mccarty</author>
  </authors>
  <commentList>
    <comment ref="I6" authorId="0" shapeId="0" xr:uid="{00000000-0006-0000-0700-000001000000}">
      <text>
        <r>
          <rPr>
            <b/>
            <sz val="9"/>
            <color indexed="81"/>
            <rFont val="Tahoma"/>
            <family val="2"/>
          </rPr>
          <t>Bonnie Mccarty:</t>
        </r>
        <r>
          <rPr>
            <sz val="9"/>
            <color indexed="81"/>
            <rFont val="Tahoma"/>
            <family val="2"/>
          </rPr>
          <t xml:space="preserve">
Advisor instructions: 
Fill in the green spots; the blue will calculate automatically.
</t>
        </r>
      </text>
    </comment>
  </commentList>
</comments>
</file>

<file path=xl/sharedStrings.xml><?xml version="1.0" encoding="utf-8"?>
<sst xmlns="http://schemas.openxmlformats.org/spreadsheetml/2006/main" count="423" uniqueCount="209">
  <si>
    <t>Projected qhrs</t>
  </si>
  <si>
    <t>GPA req</t>
  </si>
  <si>
    <t xml:space="preserve">hours with a </t>
  </si>
  <si>
    <t>You need</t>
  </si>
  <si>
    <t>Projected GPA</t>
  </si>
  <si>
    <t>GPA.</t>
  </si>
  <si>
    <t>Name:</t>
  </si>
  <si>
    <t>MSID:</t>
  </si>
  <si>
    <t>Date:</t>
  </si>
  <si>
    <t>Advisor:</t>
  </si>
  <si>
    <t>General Notes:</t>
  </si>
  <si>
    <t>Notes on calculations:</t>
  </si>
  <si>
    <t>Qpts</t>
  </si>
  <si>
    <t>F</t>
  </si>
  <si>
    <t>A</t>
  </si>
  <si>
    <t>B</t>
  </si>
  <si>
    <t>D</t>
  </si>
  <si>
    <t>Class</t>
  </si>
  <si>
    <t>Grade</t>
  </si>
  <si>
    <t>Hours</t>
  </si>
  <si>
    <t>.</t>
  </si>
  <si>
    <t>You will have a semester GPA of</t>
  </si>
  <si>
    <t>B+</t>
  </si>
  <si>
    <t>B-</t>
  </si>
  <si>
    <t>C+</t>
  </si>
  <si>
    <t>C-</t>
  </si>
  <si>
    <t>C</t>
  </si>
  <si>
    <t>D+</t>
  </si>
  <si>
    <t>D-</t>
  </si>
  <si>
    <t>N</t>
  </si>
  <si>
    <t>W</t>
  </si>
  <si>
    <t>I</t>
  </si>
  <si>
    <t>A-</t>
  </si>
  <si>
    <t>You will have a cumulative GPA of</t>
  </si>
  <si>
    <r>
      <rPr>
        <b/>
        <i/>
        <sz val="10"/>
        <color theme="1"/>
        <rFont val="Arial"/>
        <family val="2"/>
      </rPr>
      <t>before</t>
    </r>
    <r>
      <rPr>
        <b/>
        <sz val="10"/>
        <color theme="1"/>
        <rFont val="Arial"/>
        <family val="2"/>
      </rPr>
      <t xml:space="preserve"> excluding repeats.</t>
    </r>
  </si>
  <si>
    <t>Current GPA</t>
  </si>
  <si>
    <r>
      <rPr>
        <b/>
        <i/>
        <sz val="10"/>
        <color theme="1"/>
        <rFont val="Arial"/>
        <family val="2"/>
      </rPr>
      <t>after</t>
    </r>
    <r>
      <rPr>
        <b/>
        <sz val="10"/>
        <color theme="1"/>
        <rFont val="Arial"/>
        <family val="2"/>
      </rPr>
      <t xml:space="preserve"> excluding repeats.</t>
    </r>
  </si>
  <si>
    <t>(How many *more* will you take before reaching goal?)</t>
  </si>
  <si>
    <t>(What cum GPA do you need at the end of those hrs?)</t>
  </si>
  <si>
    <t>(What will you earn in the new classes?)</t>
  </si>
  <si>
    <t>(What cum GPA do you need?)</t>
  </si>
  <si>
    <t>Internal Notes (not printed on student copy)</t>
  </si>
  <si>
    <t>Qhrs</t>
  </si>
  <si>
    <t>GPA</t>
  </si>
  <si>
    <t>Sem 1:</t>
  </si>
  <si>
    <t>Sem 2:</t>
  </si>
  <si>
    <t>Sem 3:</t>
  </si>
  <si>
    <t>Sem 4:</t>
  </si>
  <si>
    <t>Notes</t>
  </si>
  <si>
    <t>Rpt</t>
  </si>
  <si>
    <t>Determine the number of hours and GPA needed to reach a particular GPA goal</t>
  </si>
  <si>
    <t>Determine how one or more repeated classes will impact the GPA</t>
  </si>
  <si>
    <t>Manually calculate a cumulative GPA by entering grades and hours; Can be used to predict a future cumulative GPA using grade projections</t>
  </si>
  <si>
    <t>Include current GPA in calcs?</t>
  </si>
  <si>
    <t>A. Demographic Info</t>
  </si>
  <si>
    <t>C. Choose a Calculator</t>
  </si>
  <si>
    <t>A. What GPA is needed, based on X hours?</t>
  </si>
  <si>
    <r>
      <t xml:space="preserve">B3. How many hours are needed for </t>
    </r>
    <r>
      <rPr>
        <b/>
        <i/>
        <sz val="14"/>
        <color theme="1"/>
        <rFont val="Arial"/>
        <family val="2"/>
      </rPr>
      <t>X</t>
    </r>
    <r>
      <rPr>
        <b/>
        <sz val="14"/>
        <color theme="1"/>
        <rFont val="Arial"/>
        <family val="2"/>
      </rPr>
      <t xml:space="preserve"> GPA?</t>
    </r>
  </si>
  <si>
    <t>Cumulative GPA</t>
  </si>
  <si>
    <t>Semester GPA</t>
  </si>
  <si>
    <t>hrs w/</t>
  </si>
  <si>
    <t>you need an additional</t>
  </si>
  <si>
    <t>Qpts after repeats:</t>
  </si>
  <si>
    <t>Qhrs after repeats:</t>
  </si>
  <si>
    <t>This will take appx</t>
  </si>
  <si>
    <t>full-time semesters and cost* appx</t>
  </si>
  <si>
    <t>You'll need to repeat</t>
  </si>
  <si>
    <t>hours.</t>
  </si>
  <si>
    <t>You'll need an addt'l</t>
  </si>
  <si>
    <t>full-time semesters (12 hours each).</t>
  </si>
  <si>
    <t>This will cost* appx</t>
  </si>
  <si>
    <r>
      <rPr>
        <b/>
        <i/>
        <sz val="10"/>
        <color theme="1"/>
        <rFont val="Arial"/>
        <family val="2"/>
      </rPr>
      <t>In addition to</t>
    </r>
    <r>
      <rPr>
        <b/>
        <sz val="10"/>
        <color theme="1"/>
        <rFont val="Arial"/>
        <family val="2"/>
      </rPr>
      <t xml:space="preserve"> the classes noted in section B above,</t>
    </r>
  </si>
  <si>
    <t>Repeats to be excluded</t>
  </si>
  <si>
    <t>A. Expected grades for this semester</t>
  </si>
  <si>
    <t>B. Repeats excluded after this semester</t>
  </si>
  <si>
    <r>
      <t xml:space="preserve">C. How many hours are needed for </t>
    </r>
    <r>
      <rPr>
        <b/>
        <i/>
        <sz val="14"/>
        <color theme="1"/>
        <rFont val="Arial"/>
        <family val="2"/>
      </rPr>
      <t>X</t>
    </r>
    <r>
      <rPr>
        <b/>
        <sz val="14"/>
        <color theme="1"/>
        <rFont val="Arial"/>
        <family val="2"/>
      </rPr>
      <t xml:space="preserve"> GPA?</t>
    </r>
  </si>
  <si>
    <t>D. How much will this cost?</t>
  </si>
  <si>
    <r>
      <t xml:space="preserve">B1. How many hours are needed for </t>
    </r>
    <r>
      <rPr>
        <b/>
        <i/>
        <sz val="14"/>
        <color theme="1"/>
        <rFont val="Arial"/>
        <family val="2"/>
      </rPr>
      <t>3.0</t>
    </r>
    <r>
      <rPr>
        <b/>
        <sz val="14"/>
        <color theme="1"/>
        <rFont val="Arial"/>
        <family val="2"/>
      </rPr>
      <t xml:space="preserve"> GPA?</t>
    </r>
  </si>
  <si>
    <r>
      <t xml:space="preserve">B2. How many hours are needed for </t>
    </r>
    <r>
      <rPr>
        <b/>
        <i/>
        <sz val="14"/>
        <color theme="1"/>
        <rFont val="Arial"/>
        <family val="2"/>
      </rPr>
      <t>3.5</t>
    </r>
    <r>
      <rPr>
        <b/>
        <sz val="14"/>
        <color theme="1"/>
        <rFont val="Arial"/>
        <family val="2"/>
      </rPr>
      <t xml:space="preserve"> GPA?</t>
    </r>
  </si>
  <si>
    <t>Yes</t>
  </si>
  <si>
    <t>if our predictions are correct.</t>
  </si>
  <si>
    <t>A. Classes expected to be excluded via Fresh Start</t>
  </si>
  <si>
    <r>
      <t xml:space="preserve">B. How many hours are needed for </t>
    </r>
    <r>
      <rPr>
        <b/>
        <i/>
        <sz val="14"/>
        <color theme="1"/>
        <rFont val="Arial"/>
        <family val="2"/>
      </rPr>
      <t>X</t>
    </r>
    <r>
      <rPr>
        <b/>
        <sz val="14"/>
        <color theme="1"/>
        <rFont val="Arial"/>
        <family val="2"/>
      </rPr>
      <t xml:space="preserve"> GPA?</t>
    </r>
  </si>
  <si>
    <r>
      <rPr>
        <b/>
        <i/>
        <sz val="10"/>
        <color theme="1"/>
        <rFont val="Arial"/>
        <family val="2"/>
      </rPr>
      <t>In addition to</t>
    </r>
    <r>
      <rPr>
        <b/>
        <sz val="10"/>
        <color theme="1"/>
        <rFont val="Arial"/>
        <family val="2"/>
      </rPr>
      <t xml:space="preserve"> the classes noted in section A above,</t>
    </r>
  </si>
  <si>
    <t>Estimate the impact of Academic Fresh Start on the GPA</t>
  </si>
  <si>
    <t>Qhrs after Fresh Start:</t>
  </si>
  <si>
    <t>Qpts after Fresh Start:</t>
  </si>
  <si>
    <t>What GPA is needed based on your HESI score?</t>
  </si>
  <si>
    <t>Highest Cumulative HESI:</t>
  </si>
  <si>
    <t>What HESI score is needed based on your GPA?</t>
  </si>
  <si>
    <t>Current GPA:</t>
  </si>
  <si>
    <t>For guaranteed admission to the School of Nursing, you'll need a composite score of at least 7.75, in addition to meeting all eligibility requirements.  The composite score is a combination of your GPA and HESI score, with equal weight given to each.</t>
  </si>
  <si>
    <t>You'll need a GPA of at least</t>
  </si>
  <si>
    <t>to qualify for guaranteed admission.</t>
  </si>
  <si>
    <t>You'll need a score of at least</t>
  </si>
  <si>
    <r>
      <t xml:space="preserve">What HESI score is needed based on a </t>
    </r>
    <r>
      <rPr>
        <b/>
        <i/>
        <sz val="14"/>
        <color theme="1"/>
        <rFont val="Arial"/>
        <family val="2"/>
      </rPr>
      <t>projected</t>
    </r>
    <r>
      <rPr>
        <b/>
        <sz val="14"/>
        <color theme="1"/>
        <rFont val="Arial"/>
        <family val="2"/>
      </rPr>
      <t xml:space="preserve"> GPA?</t>
    </r>
  </si>
  <si>
    <t>Projected GPA:</t>
  </si>
  <si>
    <r>
      <rPr>
        <b/>
        <sz val="10"/>
        <color rgb="FF0000FF"/>
        <rFont val="Arial"/>
        <family val="2"/>
      </rPr>
      <t>Please note:</t>
    </r>
    <r>
      <rPr>
        <sz val="10"/>
        <color rgb="FF0000FF"/>
        <rFont val="Arial"/>
        <family val="2"/>
      </rPr>
      <t xml:space="preserve"> </t>
    </r>
    <r>
      <rPr>
        <sz val="10"/>
        <color theme="1"/>
        <rFont val="arial"/>
        <family val="2"/>
      </rPr>
      <t>Students with GPAs below 3.75 or HESIs below 94 will not meet guaranteed admission requirements. However, such students may be considered for admission through the competitive process.</t>
    </r>
  </si>
  <si>
    <t>Current Lottery GPA from PipelineMT</t>
  </si>
  <si>
    <t>Calculate the lottery GPA</t>
  </si>
  <si>
    <r>
      <rPr>
        <b/>
        <i/>
        <sz val="10"/>
        <color theme="1"/>
        <rFont val="Arial"/>
        <family val="2"/>
      </rPr>
      <t>before</t>
    </r>
    <r>
      <rPr>
        <b/>
        <sz val="10"/>
        <color theme="1"/>
        <rFont val="Arial"/>
        <family val="2"/>
      </rPr>
      <t xml:space="preserve"> the Repeat Option.</t>
    </r>
  </si>
  <si>
    <r>
      <rPr>
        <b/>
        <i/>
        <sz val="10"/>
        <color theme="1"/>
        <rFont val="Arial"/>
        <family val="2"/>
      </rPr>
      <t>after</t>
    </r>
    <r>
      <rPr>
        <b/>
        <sz val="10"/>
        <color theme="1"/>
        <rFont val="Arial"/>
        <family val="2"/>
      </rPr>
      <t xml:space="preserve"> the Repeat Option.</t>
    </r>
  </si>
  <si>
    <r>
      <t xml:space="preserve">B. Repeat Option </t>
    </r>
    <r>
      <rPr>
        <i/>
        <sz val="14"/>
        <color theme="1"/>
        <rFont val="Arial"/>
        <family val="2"/>
      </rPr>
      <t>(if not already used)</t>
    </r>
  </si>
  <si>
    <t>Calculations for which program?</t>
  </si>
  <si>
    <t>A. Grades (already earned and expected in future)</t>
  </si>
  <si>
    <t>Qpts before repeats:</t>
  </si>
  <si>
    <r>
      <t xml:space="preserve">Possible Paths to Academic Success </t>
    </r>
    <r>
      <rPr>
        <b/>
        <sz val="10"/>
        <color theme="1"/>
        <rFont val="Arial"/>
        <family val="2"/>
      </rPr>
      <t>(Use these calcs to find the best path to the GPA you need*!)</t>
    </r>
  </si>
  <si>
    <t>1. Projected GPA based on remaining hours &amp; expected grades</t>
  </si>
  <si>
    <t>Qhrs including #1:</t>
  </si>
  <si>
    <t>Number of hours</t>
  </si>
  <si>
    <t>(How many hours do you still need?)</t>
  </si>
  <si>
    <t>Qpts including #1:</t>
  </si>
  <si>
    <t>after taking these courses.</t>
  </si>
  <si>
    <t>2. Hours needed based on GPA requirement &amp; expected grades</t>
  </si>
  <si>
    <t>Qhrs including #2:</t>
  </si>
  <si>
    <t>GPA req*</t>
  </si>
  <si>
    <t>Qpts including #2:</t>
  </si>
  <si>
    <t>3. Grades needed based on GPA requirement &amp; remaining hours</t>
  </si>
  <si>
    <t>Qhrs including #3:</t>
  </si>
  <si>
    <t>Qpts including #3:</t>
  </si>
  <si>
    <t xml:space="preserve">you need a GPA of </t>
  </si>
  <si>
    <t>or higher in your remaining classes.</t>
  </si>
  <si>
    <t>* Most majors and some minors require a 2.0 GPA in the major/minor courses, but some may have higher requirements.</t>
  </si>
  <si>
    <t>Calculate the GPA for a few classes, such as for the student's major or minor (without the cumulative grades included)</t>
  </si>
  <si>
    <t>Next 24-hour bracket</t>
  </si>
  <si>
    <t>You can only regain eligibility at a 24-hour bracket.</t>
  </si>
  <si>
    <t xml:space="preserve">You are </t>
  </si>
  <si>
    <t xml:space="preserve">hrs from the </t>
  </si>
  <si>
    <t>hr bracket.</t>
  </si>
  <si>
    <t>Current attempted hrs (for bracket)</t>
  </si>
  <si>
    <t>Current lottery GPA</t>
  </si>
  <si>
    <t>Current GPA hours</t>
  </si>
  <si>
    <t>Current quality points</t>
  </si>
  <si>
    <t>GPA required for next bracket*</t>
  </si>
  <si>
    <t>Name</t>
  </si>
  <si>
    <t>MSID</t>
  </si>
  <si>
    <t>Nursing applicants: Various calculations for nursing application purposes</t>
  </si>
  <si>
    <t>School</t>
  </si>
  <si>
    <t>Cum</t>
  </si>
  <si>
    <t>Total</t>
  </si>
  <si>
    <t>GPA Compiler: 2nd Degree, Transcripts from Multiple Schools</t>
  </si>
  <si>
    <t>Green = You type in the data</t>
  </si>
  <si>
    <t>Blue = Formula</t>
  </si>
  <si>
    <t>(Please note: You still need to reach the next bracket, to be eligible to regain the lottery scholarship!)</t>
  </si>
  <si>
    <t>C. What GPA is needed to regain at the next bracket?</t>
  </si>
  <si>
    <r>
      <t xml:space="preserve">D. How many hours are needed for </t>
    </r>
    <r>
      <rPr>
        <b/>
        <i/>
        <sz val="14"/>
        <color theme="1"/>
        <rFont val="Arial"/>
        <family val="2"/>
      </rPr>
      <t>X</t>
    </r>
    <r>
      <rPr>
        <b/>
        <sz val="14"/>
        <color theme="1"/>
        <rFont val="Arial"/>
        <family val="2"/>
      </rPr>
      <t xml:space="preserve"> GPA?</t>
    </r>
  </si>
  <si>
    <t>you need a GPA of at least</t>
  </si>
  <si>
    <t>in the next</t>
  </si>
  <si>
    <t>Qpts needed at next bracket:</t>
  </si>
  <si>
    <r>
      <t xml:space="preserve">*If you're in a provisional status, your GPA requirements are slightly different, including a </t>
    </r>
    <r>
      <rPr>
        <i/>
        <sz val="12"/>
        <color theme="1"/>
        <rFont val="Arial"/>
        <family val="2"/>
      </rPr>
      <t>semester</t>
    </r>
    <r>
      <rPr>
        <sz val="12"/>
        <color theme="1"/>
        <rFont val="Arial"/>
        <family val="2"/>
      </rPr>
      <t xml:space="preserve"> GPA requirement along with the normal cumulative requirement.
^You may be able to take more than the number of hours stated in section C in order to reach the required GPA, depending on when you reach the next bracket.  For example, if you have 46 lottery attempted hours at the end of a semester, the formula will say that you have only 2 hours in which to reach the required GPA.  However, all of the classes you take in the next semester--typically 12-15 hours--will count in the GPA calculation, when determining whether you meet the GPA requirement at the 48-hour bracket.  Thus, you can really take 12 or 15 hours to raise your GPA, rather than just the 2 hours needed to reach the bracket.
</t>
    </r>
    <r>
      <rPr>
        <b/>
        <sz val="12"/>
        <color theme="1"/>
        <rFont val="Arial"/>
        <family val="2"/>
      </rPr>
      <t>Important Reminders</t>
    </r>
    <r>
      <rPr>
        <sz val="12"/>
        <color theme="1"/>
        <rFont val="Arial"/>
        <family val="2"/>
      </rPr>
      <t xml:space="preserve">
This info is </t>
    </r>
    <r>
      <rPr>
        <i/>
        <sz val="12"/>
        <color theme="1"/>
        <rFont val="Arial"/>
        <family val="2"/>
      </rPr>
      <t>very</t>
    </r>
    <r>
      <rPr>
        <sz val="12"/>
        <color theme="1"/>
        <rFont val="Arial"/>
        <family val="2"/>
      </rPr>
      <t xml:space="preserve"> simplified! Be sure to additionally read the detailed info provided by the MT One Stop!
A few reminders of how the lottery GPA rules work:
Your lottery stats don't include any classes taken </t>
    </r>
    <r>
      <rPr>
        <i/>
        <sz val="12"/>
        <color theme="1"/>
        <rFont val="Arial"/>
        <family val="2"/>
      </rPr>
      <t>before</t>
    </r>
    <r>
      <rPr>
        <sz val="12"/>
        <color theme="1"/>
        <rFont val="Arial"/>
        <family val="2"/>
      </rPr>
      <t xml:space="preserve"> high school graduation, such as dual-enrollment classes and AP credits. The hours don't count in your lottery attempted hours, and the grades don't count in your GPA.
Your lottery stats include </t>
    </r>
    <r>
      <rPr>
        <i/>
        <sz val="12"/>
        <color theme="1"/>
        <rFont val="Arial"/>
        <family val="2"/>
      </rPr>
      <t>all</t>
    </r>
    <r>
      <rPr>
        <sz val="12"/>
        <color theme="1"/>
        <rFont val="Arial"/>
        <family val="2"/>
      </rPr>
      <t xml:space="preserve"> classes taken </t>
    </r>
    <r>
      <rPr>
        <i/>
        <sz val="12"/>
        <color theme="1"/>
        <rFont val="Arial"/>
        <family val="2"/>
      </rPr>
      <t>after</t>
    </r>
    <r>
      <rPr>
        <sz val="12"/>
        <color theme="1"/>
        <rFont val="Arial"/>
        <family val="2"/>
      </rPr>
      <t xml:space="preserve"> high school graduation, including repeated classes which MTSU excludes from your Overall GPA. For example, you fail algebra the first time but retake it and make an A. MTSU excludes the F and only counts the A. The lottery GPA keeps both the F and the A.
You may use your one-time-only Repeat Option to exclude a single repeated grade (such as the F in the example above), by submitting a Repeat form to the MT One Stop.
Your GPA status is checked when you reach 24, 48, 72, and 96 lottery attempted hours.
You need a 2.75 lottery GPA at 24 and 48 hours, and a 3.0 at 72 and 96 hours. You may be </t>
    </r>
    <r>
      <rPr>
        <i/>
        <sz val="12"/>
        <color theme="1"/>
        <rFont val="Arial"/>
        <family val="2"/>
      </rPr>
      <t>provisionally</t>
    </r>
    <r>
      <rPr>
        <sz val="12"/>
        <color theme="1"/>
        <rFont val="Arial"/>
        <family val="2"/>
      </rPr>
      <t xml:space="preserve"> eligible with a 2.75 at 72 and 96 hours, in some cases.</t>
    </r>
  </si>
  <si>
    <t>Date</t>
  </si>
  <si>
    <t>Advisor</t>
  </si>
  <si>
    <t>n/a</t>
  </si>
  <si>
    <t xml:space="preserve">You will add </t>
  </si>
  <si>
    <t>attempted hours to your total.</t>
  </si>
  <si>
    <t>You will have a cumulative TELS GPA of</t>
  </si>
  <si>
    <t>Qhrs after current sem &amp; repeats:</t>
  </si>
  <si>
    <t>Qpts after current sem &amp; repeats:</t>
  </si>
  <si>
    <t>Ahrs but not GPA: Total hrs of Ps, Ns, or Ws</t>
  </si>
  <si>
    <t>Qpts needed at that bracket:</t>
  </si>
  <si>
    <t>24-hr bracket after next:</t>
  </si>
  <si>
    <t>GPA needed for that bracket:</t>
  </si>
  <si>
    <r>
      <rPr>
        <i/>
        <sz val="10"/>
        <color theme="1"/>
        <rFont val="Arial"/>
        <family val="2"/>
      </rPr>
      <t>In addition to</t>
    </r>
    <r>
      <rPr>
        <sz val="10"/>
        <color theme="1"/>
        <rFont val="arial"/>
        <family val="2"/>
      </rPr>
      <t xml:space="preserve"> the classes noted in section A above, and after submitting the repeat form for section B above, </t>
    </r>
  </si>
  <si>
    <r>
      <rPr>
        <b/>
        <sz val="10"/>
        <color theme="1"/>
        <rFont val="Arial"/>
        <family val="2"/>
      </rPr>
      <t>hours</t>
    </r>
    <r>
      <rPr>
        <sz val="10"/>
        <color theme="1"/>
        <rFont val="arial"/>
        <family val="2"/>
      </rPr>
      <t>^ to reach the GPA by the next bracket.</t>
    </r>
  </si>
  <si>
    <r>
      <rPr>
        <b/>
        <sz val="10"/>
        <color theme="1"/>
        <rFont val="Arial"/>
        <family val="2"/>
      </rPr>
      <t>hours</t>
    </r>
    <r>
      <rPr>
        <sz val="10"/>
        <color theme="1"/>
        <rFont val="arial"/>
        <family val="2"/>
      </rPr>
      <t>^ to reach the required GPA.</t>
    </r>
  </si>
  <si>
    <r>
      <rPr>
        <b/>
        <sz val="10"/>
        <color theme="1"/>
        <rFont val="Arial"/>
        <family val="2"/>
      </rPr>
      <t xml:space="preserve">GPA </t>
    </r>
    <r>
      <rPr>
        <sz val="10"/>
        <color theme="1"/>
        <rFont val="arial"/>
        <family val="2"/>
      </rPr>
      <t>to reach the required GPA.</t>
    </r>
  </si>
  <si>
    <t>If you're too far to regain eligibility at the upcoming bracket, what about the next one?</t>
  </si>
  <si>
    <t xml:space="preserve">  (Look for the tab matching the color you want)</t>
  </si>
  <si>
    <t>GPA Goals</t>
  </si>
  <si>
    <t>Repeats</t>
  </si>
  <si>
    <t>Major-Minor</t>
  </si>
  <si>
    <t>Lottery</t>
  </si>
  <si>
    <t>Manual Calc</t>
  </si>
  <si>
    <t>Fresh Start</t>
  </si>
  <si>
    <t>Nursing</t>
  </si>
  <si>
    <t xml:space="preserve">Along w/ classes in section A, you need </t>
  </si>
  <si>
    <t>hrs to reach</t>
  </si>
  <si>
    <t>Current pass rate</t>
  </si>
  <si>
    <t>Current Attempted Hrs</t>
  </si>
  <si>
    <t>Current Passed Hrs</t>
  </si>
  <si>
    <t>Take *and* pass</t>
  </si>
  <si>
    <t>You will have appx</t>
  </si>
  <si>
    <t>attempted hours at that time.</t>
  </si>
  <si>
    <t>What this means for you:</t>
  </si>
  <si>
    <t>However, you should check with the MT One Stop to verify this information, as these are only rough calculations and may be based on partial info.</t>
  </si>
  <si>
    <t>Notes:</t>
  </si>
  <si>
    <t xml:space="preserve">Current enrollment: </t>
  </si>
  <si>
    <t>hours</t>
  </si>
  <si>
    <t xml:space="preserve">of the </t>
  </si>
  <si>
    <t>hours to meet the requirement.</t>
  </si>
  <si>
    <t>You need to pass at least</t>
  </si>
  <si>
    <t>semesters, if you take 15 hours per semester.</t>
  </si>
  <si>
    <t>This will take</t>
  </si>
  <si>
    <t>Currently on Financial Aid Suspension</t>
  </si>
  <si>
    <t>Currently on Financial Aid Warning</t>
  </si>
  <si>
    <t>How many hours do you need to pass this semester?</t>
  </si>
  <si>
    <t>FinAid %</t>
  </si>
  <si>
    <t>Financial Aid Warning: Can 67% be reached by the end of this semester?
Financial Aid Suspension: How many hours must be passed to get aid back?</t>
  </si>
  <si>
    <t>C. What GPA is needed, based on X hours?</t>
  </si>
  <si>
    <t>(How many *more* before reaching goal?)</t>
  </si>
  <si>
    <t>(What GPA do you need at the end of hrs?)</t>
  </si>
  <si>
    <t xml:space="preserve">hrs w/ </t>
  </si>
  <si>
    <t>*Estimated cost is based on 2020-21 standard tuition. Cost will be higher than listed, depending on tuition increases over time, course fees, books and supplies, and other expenses.</t>
  </si>
  <si>
    <t>Switch to "Inclusive"?</t>
  </si>
  <si>
    <t>No</t>
  </si>
  <si>
    <t>Yes = change all "overall" labels to "inclusive"</t>
  </si>
  <si>
    <r>
      <t xml:space="preserve">hours to reach a 67% pass rate for fin aid. (If a decimal, round </t>
    </r>
    <r>
      <rPr>
        <i/>
        <sz val="10"/>
        <color theme="1"/>
        <rFont val="Arial"/>
        <family val="2"/>
      </rPr>
      <t>up</t>
    </r>
    <r>
      <rPr>
        <sz val="10"/>
        <color theme="1"/>
        <rFont val="arial"/>
        <family val="2"/>
      </rPr>
      <t xml:space="preserve"> to the next #!!)</t>
    </r>
  </si>
  <si>
    <t>Current Hours</t>
  </si>
  <si>
    <t>Be sure to check GPA also!  Must have a 2.0, regardless of the number of attempted/earned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</si>
</sst>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
    <numFmt numFmtId="166" formatCode="&quot;$&quot;#,##0"/>
    <numFmt numFmtId="167" formatCode="0.0000"/>
  </numFmts>
  <fonts count="27" x14ac:knownFonts="1">
    <font>
      <sz val="10"/>
      <color theme="1"/>
      <name val="arial"/>
      <family val="2"/>
    </font>
    <font>
      <b/>
      <sz val="10"/>
      <color theme="1"/>
      <name val="Arial"/>
      <family val="2"/>
    </font>
    <font>
      <b/>
      <sz val="14"/>
      <color theme="1"/>
      <name val="Arial"/>
      <family val="2"/>
    </font>
    <font>
      <sz val="10"/>
      <name val="Arial"/>
      <family val="2"/>
    </font>
    <font>
      <sz val="10"/>
      <name val="Arial Narrow"/>
      <family val="2"/>
    </font>
    <font>
      <sz val="11"/>
      <name val="Arial"/>
      <family val="2"/>
    </font>
    <font>
      <sz val="9"/>
      <color indexed="81"/>
      <name val="Tahoma"/>
      <family val="2"/>
    </font>
    <font>
      <b/>
      <sz val="9"/>
      <color indexed="81"/>
      <name val="Tahoma"/>
      <family val="2"/>
    </font>
    <font>
      <b/>
      <i/>
      <sz val="14"/>
      <color theme="1"/>
      <name val="Arial"/>
      <family val="2"/>
    </font>
    <font>
      <i/>
      <sz val="9"/>
      <color indexed="81"/>
      <name val="Tahoma"/>
      <family val="2"/>
    </font>
    <font>
      <b/>
      <i/>
      <sz val="10"/>
      <color theme="1"/>
      <name val="Arial"/>
      <family val="2"/>
    </font>
    <font>
      <u/>
      <sz val="10"/>
      <color theme="10"/>
      <name val="Arial"/>
      <family val="2"/>
    </font>
    <font>
      <b/>
      <sz val="11"/>
      <color theme="1"/>
      <name val="Arial"/>
      <family val="2"/>
    </font>
    <font>
      <b/>
      <i/>
      <sz val="10"/>
      <color rgb="FFFF0000"/>
      <name val="Arial"/>
      <family val="2"/>
    </font>
    <font>
      <b/>
      <sz val="10"/>
      <color rgb="FF0000FF"/>
      <name val="Arial"/>
      <family val="2"/>
    </font>
    <font>
      <sz val="10"/>
      <color rgb="FF0000FF"/>
      <name val="Arial"/>
      <family val="2"/>
    </font>
    <font>
      <i/>
      <sz val="14"/>
      <color theme="1"/>
      <name val="Arial"/>
      <family val="2"/>
    </font>
    <font>
      <i/>
      <sz val="10"/>
      <color theme="1"/>
      <name val="Arial"/>
      <family val="2"/>
    </font>
    <font>
      <b/>
      <sz val="12"/>
      <color theme="1"/>
      <name val="Arial"/>
      <family val="2"/>
    </font>
    <font>
      <sz val="12"/>
      <color theme="1"/>
      <name val="Arial"/>
      <family val="2"/>
    </font>
    <font>
      <i/>
      <sz val="12"/>
      <color theme="1"/>
      <name val="Arial"/>
      <family val="2"/>
    </font>
    <font>
      <b/>
      <sz val="11"/>
      <color theme="1"/>
      <name val="Calibri"/>
      <family val="2"/>
      <scheme val="minor"/>
    </font>
    <font>
      <sz val="10"/>
      <color theme="0" tint="-0.249977111117893"/>
      <name val="Arial"/>
      <family val="2"/>
    </font>
    <font>
      <i/>
      <sz val="11"/>
      <color theme="1"/>
      <name val="Arial"/>
      <family val="2"/>
    </font>
    <font>
      <b/>
      <sz val="12"/>
      <color theme="0"/>
      <name val="Arial"/>
      <family val="2"/>
    </font>
    <font>
      <sz val="10"/>
      <color theme="0" tint="-4.9989318521683403E-2"/>
      <name val="arial"/>
      <family val="2"/>
    </font>
    <font>
      <b/>
      <sz val="10"/>
      <color rgb="FFFF0000"/>
      <name val="Arial"/>
      <family val="2"/>
    </font>
  </fonts>
  <fills count="16">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00B0F0"/>
        <bgColor indexed="64"/>
      </patternFill>
    </fill>
    <fill>
      <patternFill patternType="solid">
        <fgColor rgb="FF00B050"/>
        <bgColor indexed="64"/>
      </patternFill>
    </fill>
    <fill>
      <patternFill patternType="solid">
        <fgColor theme="5" tint="-0.249977111117893"/>
        <bgColor indexed="64"/>
      </patternFill>
    </fill>
    <fill>
      <patternFill patternType="solid">
        <fgColor rgb="FF7030A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theme="8" tint="0.79998168889431442"/>
        <bgColor indexed="64"/>
      </patternFill>
    </fill>
  </fills>
  <borders count="45">
    <border>
      <left/>
      <right/>
      <top/>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diagonal/>
    </border>
    <border>
      <left style="thin">
        <color auto="1"/>
      </left>
      <right style="medium">
        <color auto="1"/>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diagonal/>
    </border>
    <border>
      <left style="medium">
        <color auto="1"/>
      </left>
      <right/>
      <top style="medium">
        <color auto="1"/>
      </top>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s>
  <cellStyleXfs count="3">
    <xf numFmtId="0" fontId="0" fillId="0" borderId="0"/>
    <xf numFmtId="0" fontId="4" fillId="0" borderId="0"/>
    <xf numFmtId="0" fontId="11" fillId="0" borderId="0" applyNumberFormat="0" applyFill="0" applyBorder="0" applyAlignment="0" applyProtection="0"/>
  </cellStyleXfs>
  <cellXfs count="330">
    <xf numFmtId="0" fontId="0" fillId="0" borderId="0" xfId="0"/>
    <xf numFmtId="0" fontId="0" fillId="0" borderId="1" xfId="0" applyBorder="1"/>
    <xf numFmtId="0" fontId="1" fillId="0" borderId="1" xfId="0" applyFont="1" applyBorder="1"/>
    <xf numFmtId="0" fontId="0" fillId="0" borderId="2" xfId="0" applyBorder="1"/>
    <xf numFmtId="0" fontId="2" fillId="0" borderId="3" xfId="0" applyFont="1" applyBorder="1"/>
    <xf numFmtId="0" fontId="0" fillId="0" borderId="4" xfId="0" applyBorder="1"/>
    <xf numFmtId="0" fontId="0" fillId="0" borderId="5" xfId="0" applyBorder="1"/>
    <xf numFmtId="0" fontId="1" fillId="0" borderId="6" xfId="0" applyFont="1" applyBorder="1"/>
    <xf numFmtId="0" fontId="0" fillId="0" borderId="7" xfId="0" applyBorder="1"/>
    <xf numFmtId="0" fontId="0" fillId="0" borderId="6" xfId="0" applyBorder="1"/>
    <xf numFmtId="0" fontId="1" fillId="0" borderId="8" xfId="0" applyFont="1" applyBorder="1"/>
    <xf numFmtId="0" fontId="1" fillId="0" borderId="9" xfId="0" applyFont="1" applyBorder="1"/>
    <xf numFmtId="0" fontId="0" fillId="0" borderId="0" xfId="0" applyBorder="1"/>
    <xf numFmtId="2" fontId="0" fillId="0" borderId="1" xfId="0" applyNumberFormat="1" applyFill="1" applyBorder="1"/>
    <xf numFmtId="0" fontId="0" fillId="0" borderId="11" xfId="0" applyBorder="1"/>
    <xf numFmtId="0" fontId="1" fillId="0" borderId="2" xfId="0" applyFont="1" applyBorder="1"/>
    <xf numFmtId="0" fontId="1" fillId="0" borderId="0" xfId="0" applyFont="1" applyBorder="1" applyAlignment="1">
      <alignment horizontal="left"/>
    </xf>
    <xf numFmtId="0" fontId="1" fillId="0" borderId="2" xfId="0" applyFont="1" applyBorder="1" applyAlignment="1">
      <alignment horizontal="left"/>
    </xf>
    <xf numFmtId="14" fontId="0" fillId="2" borderId="2" xfId="0" applyNumberFormat="1" applyFill="1" applyBorder="1" applyAlignment="1" applyProtection="1">
      <alignment horizontal="left"/>
      <protection locked="0"/>
    </xf>
    <xf numFmtId="0" fontId="0" fillId="2" borderId="1" xfId="0" applyFill="1" applyBorder="1" applyProtection="1">
      <protection locked="0"/>
    </xf>
    <xf numFmtId="2" fontId="0" fillId="2" borderId="1" xfId="0" applyNumberFormat="1" applyFill="1" applyBorder="1" applyProtection="1">
      <protection locked="0"/>
    </xf>
    <xf numFmtId="0" fontId="0" fillId="0" borderId="1" xfId="0" applyBorder="1" applyProtection="1"/>
    <xf numFmtId="0" fontId="0" fillId="0" borderId="0" xfId="0" applyAlignment="1" applyProtection="1">
      <alignment vertical="center"/>
    </xf>
    <xf numFmtId="0" fontId="0" fillId="0" borderId="0" xfId="0" applyAlignment="1">
      <alignment vertical="center"/>
    </xf>
    <xf numFmtId="0" fontId="0" fillId="0" borderId="0" xfId="0" applyBorder="1" applyAlignment="1">
      <alignment vertical="center"/>
    </xf>
    <xf numFmtId="0" fontId="5" fillId="0" borderId="0" xfId="0" applyFont="1" applyAlignment="1">
      <alignment vertical="center" wrapText="1"/>
    </xf>
    <xf numFmtId="0" fontId="3" fillId="0" borderId="0" xfId="0" applyFont="1" applyAlignment="1" applyProtection="1">
      <alignment vertical="center" wrapText="1"/>
    </xf>
    <xf numFmtId="0" fontId="1" fillId="0" borderId="8" xfId="0" applyFont="1" applyBorder="1" applyAlignment="1">
      <alignment horizontal="right"/>
    </xf>
    <xf numFmtId="164" fontId="1" fillId="3" borderId="9" xfId="0" applyNumberFormat="1" applyFont="1" applyFill="1" applyBorder="1" applyAlignment="1">
      <alignment horizontal="center"/>
    </xf>
    <xf numFmtId="0" fontId="0" fillId="0" borderId="15" xfId="0" applyBorder="1"/>
    <xf numFmtId="0" fontId="1" fillId="0" borderId="0" xfId="0" applyFont="1"/>
    <xf numFmtId="0" fontId="0" fillId="2" borderId="1" xfId="0" applyFill="1" applyBorder="1" applyAlignment="1" applyProtection="1">
      <alignment horizontal="center"/>
      <protection locked="0"/>
    </xf>
    <xf numFmtId="2" fontId="1" fillId="0" borderId="0" xfId="0" applyNumberFormat="1" applyFont="1"/>
    <xf numFmtId="2" fontId="0" fillId="0" borderId="0" xfId="0" applyNumberFormat="1"/>
    <xf numFmtId="0" fontId="0" fillId="0" borderId="0" xfId="0" applyProtection="1"/>
    <xf numFmtId="0" fontId="1" fillId="0" borderId="0" xfId="0" applyFont="1" applyProtection="1"/>
    <xf numFmtId="0" fontId="0" fillId="0" borderId="0" xfId="0" applyBorder="1" applyProtection="1"/>
    <xf numFmtId="0" fontId="2" fillId="0" borderId="3" xfId="0" applyFont="1" applyBorder="1" applyProtection="1"/>
    <xf numFmtId="0" fontId="0" fillId="0" borderId="4" xfId="0" applyBorder="1" applyProtection="1"/>
    <xf numFmtId="0" fontId="0" fillId="0" borderId="5" xfId="0" applyBorder="1" applyProtection="1"/>
    <xf numFmtId="0" fontId="1" fillId="0" borderId="6" xfId="0" applyFont="1" applyBorder="1" applyProtection="1"/>
    <xf numFmtId="164" fontId="1" fillId="3" borderId="1" xfId="0" applyNumberFormat="1" applyFont="1" applyFill="1" applyBorder="1" applyAlignment="1" applyProtection="1">
      <alignment horizontal="right"/>
    </xf>
    <xf numFmtId="0" fontId="0" fillId="0" borderId="2" xfId="0" applyBorder="1" applyProtection="1"/>
    <xf numFmtId="0" fontId="0" fillId="0" borderId="11" xfId="0" applyBorder="1" applyProtection="1"/>
    <xf numFmtId="0" fontId="1" fillId="0" borderId="2" xfId="0" applyFont="1" applyBorder="1" applyAlignment="1" applyProtection="1">
      <alignment horizontal="left"/>
    </xf>
    <xf numFmtId="0" fontId="1" fillId="0" borderId="1" xfId="0" applyFont="1" applyFill="1" applyBorder="1" applyProtection="1"/>
    <xf numFmtId="0" fontId="1" fillId="0" borderId="1" xfId="0" applyFont="1" applyBorder="1" applyProtection="1"/>
    <xf numFmtId="0" fontId="1" fillId="0" borderId="7" xfId="0" applyFont="1" applyBorder="1" applyProtection="1"/>
    <xf numFmtId="164" fontId="0" fillId="3" borderId="1" xfId="0" applyNumberFormat="1" applyFill="1" applyBorder="1" applyProtection="1"/>
    <xf numFmtId="0" fontId="1" fillId="0" borderId="7" xfId="0" applyFont="1" applyBorder="1" applyAlignment="1" applyProtection="1"/>
    <xf numFmtId="164" fontId="1" fillId="3" borderId="11" xfId="0" applyNumberFormat="1" applyFont="1" applyFill="1" applyBorder="1" applyAlignment="1" applyProtection="1">
      <alignment horizontal="right"/>
    </xf>
    <xf numFmtId="0" fontId="1" fillId="0" borderId="10" xfId="0" applyFont="1" applyBorder="1" applyAlignment="1" applyProtection="1"/>
    <xf numFmtId="0" fontId="1" fillId="0" borderId="0" xfId="0" applyFont="1" applyBorder="1" applyAlignment="1" applyProtection="1">
      <alignment horizontal="left"/>
    </xf>
    <xf numFmtId="164" fontId="1" fillId="0" borderId="1" xfId="0" applyNumberFormat="1" applyFont="1" applyFill="1" applyBorder="1" applyAlignment="1" applyProtection="1">
      <alignment horizontal="center"/>
    </xf>
    <xf numFmtId="0" fontId="1" fillId="0" borderId="7" xfId="0" applyFont="1" applyFill="1" applyBorder="1" applyAlignment="1" applyProtection="1">
      <alignment horizontal="left"/>
    </xf>
    <xf numFmtId="0" fontId="1" fillId="0" borderId="23" xfId="0" applyFont="1" applyBorder="1" applyAlignment="1" applyProtection="1"/>
    <xf numFmtId="0" fontId="0" fillId="0" borderId="15" xfId="0" applyBorder="1" applyProtection="1"/>
    <xf numFmtId="0" fontId="1" fillId="2" borderId="6" xfId="0" applyFont="1" applyFill="1" applyBorder="1" applyProtection="1">
      <protection locked="0"/>
    </xf>
    <xf numFmtId="0" fontId="0" fillId="2" borderId="6" xfId="0" applyFont="1" applyFill="1" applyBorder="1" applyProtection="1">
      <protection locked="0"/>
    </xf>
    <xf numFmtId="0" fontId="1" fillId="0" borderId="2" xfId="0" applyFont="1" applyBorder="1" applyAlignment="1"/>
    <xf numFmtId="0" fontId="0" fillId="2" borderId="1" xfId="0" applyFill="1" applyBorder="1" applyAlignment="1" applyProtection="1">
      <alignment horizontal="left"/>
      <protection locked="0"/>
    </xf>
    <xf numFmtId="0" fontId="1" fillId="0" borderId="2" xfId="0" applyFont="1" applyFill="1" applyBorder="1" applyProtection="1"/>
    <xf numFmtId="0" fontId="1" fillId="0" borderId="2" xfId="0" applyFont="1" applyBorder="1" applyProtection="1"/>
    <xf numFmtId="0" fontId="1" fillId="0" borderId="0" xfId="0" applyFont="1" applyBorder="1" applyProtection="1"/>
    <xf numFmtId="0" fontId="1" fillId="5" borderId="0" xfId="0" applyFont="1" applyFill="1" applyBorder="1" applyAlignment="1" applyProtection="1">
      <alignment horizontal="right"/>
    </xf>
    <xf numFmtId="0" fontId="1" fillId="5" borderId="18" xfId="0" applyFont="1" applyFill="1" applyBorder="1" applyAlignment="1" applyProtection="1">
      <alignment horizontal="right"/>
    </xf>
    <xf numFmtId="164" fontId="0" fillId="0" borderId="0" xfId="0" applyNumberFormat="1" applyProtection="1"/>
    <xf numFmtId="164" fontId="1" fillId="5" borderId="19" xfId="0" applyNumberFormat="1" applyFont="1" applyFill="1" applyBorder="1" applyAlignment="1" applyProtection="1">
      <alignment horizontal="right"/>
    </xf>
    <xf numFmtId="0" fontId="0" fillId="0" borderId="26" xfId="0" applyBorder="1" applyProtection="1"/>
    <xf numFmtId="164" fontId="0" fillId="0" borderId="26" xfId="0" applyNumberFormat="1" applyBorder="1" applyProtection="1"/>
    <xf numFmtId="164" fontId="0" fillId="0" borderId="27" xfId="0" applyNumberFormat="1" applyBorder="1" applyProtection="1"/>
    <xf numFmtId="0" fontId="1" fillId="0" borderId="28" xfId="0" applyFont="1" applyFill="1" applyBorder="1" applyProtection="1"/>
    <xf numFmtId="164" fontId="0" fillId="0" borderId="0" xfId="0" applyNumberFormat="1" applyBorder="1" applyProtection="1"/>
    <xf numFmtId="164" fontId="0" fillId="0" borderId="29" xfId="0" applyNumberFormat="1" applyBorder="1" applyProtection="1"/>
    <xf numFmtId="164" fontId="1" fillId="5" borderId="29" xfId="0" applyNumberFormat="1" applyFont="1" applyFill="1" applyBorder="1" applyAlignment="1" applyProtection="1">
      <alignment horizontal="right"/>
    </xf>
    <xf numFmtId="0" fontId="0" fillId="2" borderId="9" xfId="0" applyFill="1" applyBorder="1" applyAlignment="1" applyProtection="1">
      <alignment horizontal="left"/>
      <protection locked="0"/>
    </xf>
    <xf numFmtId="0" fontId="1" fillId="5" borderId="11" xfId="0" applyFont="1" applyFill="1" applyBorder="1" applyProtection="1"/>
    <xf numFmtId="164" fontId="1" fillId="5" borderId="31" xfId="0" applyNumberFormat="1" applyFont="1" applyFill="1" applyBorder="1" applyProtection="1"/>
    <xf numFmtId="0" fontId="1" fillId="5" borderId="32" xfId="0" applyFont="1" applyFill="1" applyBorder="1" applyProtection="1"/>
    <xf numFmtId="164" fontId="1" fillId="5" borderId="23" xfId="0" applyNumberFormat="1" applyFont="1" applyFill="1" applyBorder="1" applyProtection="1"/>
    <xf numFmtId="0" fontId="1" fillId="0" borderId="0" xfId="0" applyFont="1" applyAlignment="1">
      <alignment vertical="center"/>
    </xf>
    <xf numFmtId="14" fontId="0" fillId="3" borderId="2" xfId="0" applyNumberFormat="1" applyFill="1" applyBorder="1" applyAlignment="1" applyProtection="1">
      <alignment horizontal="left"/>
    </xf>
    <xf numFmtId="0" fontId="1" fillId="0" borderId="2" xfId="0" applyFont="1" applyBorder="1" applyAlignment="1">
      <alignment horizontal="right"/>
    </xf>
    <xf numFmtId="0" fontId="1" fillId="0" borderId="1" xfId="0" applyFont="1" applyBorder="1" applyAlignment="1">
      <alignment horizontal="right"/>
    </xf>
    <xf numFmtId="0" fontId="1" fillId="0" borderId="33" xfId="0" applyFont="1" applyBorder="1"/>
    <xf numFmtId="0" fontId="0" fillId="2" borderId="7" xfId="0" applyFont="1" applyFill="1" applyBorder="1" applyProtection="1">
      <protection locked="0"/>
    </xf>
    <xf numFmtId="0" fontId="2" fillId="0" borderId="2" xfId="0" applyFont="1" applyBorder="1" applyProtection="1"/>
    <xf numFmtId="0" fontId="2" fillId="0" borderId="0" xfId="0" applyFont="1" applyBorder="1" applyProtection="1"/>
    <xf numFmtId="0" fontId="12" fillId="0" borderId="3" xfId="0" applyFont="1" applyFill="1" applyBorder="1" applyProtection="1"/>
    <xf numFmtId="0" fontId="1" fillId="0" borderId="2" xfId="0" applyFont="1" applyBorder="1" applyAlignment="1">
      <alignment horizontal="left" indent="4"/>
    </xf>
    <xf numFmtId="0" fontId="1" fillId="0" borderId="1" xfId="0" applyFont="1" applyBorder="1" applyAlignment="1">
      <alignment horizontal="left" indent="4"/>
    </xf>
    <xf numFmtId="0" fontId="1" fillId="0" borderId="2" xfId="0" applyFont="1" applyBorder="1" applyAlignment="1">
      <alignment horizontal="left" indent="11"/>
    </xf>
    <xf numFmtId="0" fontId="1" fillId="0" borderId="1" xfId="0" applyFont="1" applyBorder="1" applyAlignment="1">
      <alignment horizontal="left" indent="11"/>
    </xf>
    <xf numFmtId="0" fontId="1" fillId="0" borderId="10" xfId="0" applyFont="1" applyBorder="1"/>
    <xf numFmtId="0" fontId="0" fillId="0" borderId="36" xfId="0" applyBorder="1"/>
    <xf numFmtId="165" fontId="1" fillId="3" borderId="9" xfId="0" applyNumberFormat="1" applyFont="1" applyFill="1" applyBorder="1" applyAlignment="1">
      <alignment horizontal="center"/>
    </xf>
    <xf numFmtId="0" fontId="1" fillId="0" borderId="6" xfId="0" applyFont="1" applyBorder="1" applyAlignment="1">
      <alignment horizontal="right"/>
    </xf>
    <xf numFmtId="1" fontId="1" fillId="3" borderId="1" xfId="0" applyNumberFormat="1" applyFont="1" applyFill="1" applyBorder="1" applyAlignment="1">
      <alignment horizontal="center"/>
    </xf>
    <xf numFmtId="164" fontId="1" fillId="3" borderId="1" xfId="0" applyNumberFormat="1" applyFont="1" applyFill="1" applyBorder="1" applyAlignment="1">
      <alignment horizontal="center"/>
    </xf>
    <xf numFmtId="166" fontId="1" fillId="3" borderId="10" xfId="0" applyNumberFormat="1" applyFont="1" applyFill="1" applyBorder="1" applyAlignment="1">
      <alignment horizontal="center"/>
    </xf>
    <xf numFmtId="0" fontId="0" fillId="0" borderId="0" xfId="0" applyBorder="1" applyAlignment="1">
      <alignment horizontal="left" wrapText="1"/>
    </xf>
    <xf numFmtId="0" fontId="0" fillId="0" borderId="6" xfId="0" applyFont="1" applyBorder="1"/>
    <xf numFmtId="0" fontId="0" fillId="0" borderId="1" xfId="0" applyFont="1" applyBorder="1"/>
    <xf numFmtId="164" fontId="0" fillId="3" borderId="1" xfId="0" applyNumberFormat="1" applyFont="1" applyFill="1" applyBorder="1" applyAlignment="1">
      <alignment horizontal="center"/>
    </xf>
    <xf numFmtId="0" fontId="0" fillId="0" borderId="7" xfId="0" applyFont="1" applyBorder="1"/>
    <xf numFmtId="0" fontId="0" fillId="0" borderId="0" xfId="0" applyFont="1" applyBorder="1"/>
    <xf numFmtId="0" fontId="0" fillId="0" borderId="0" xfId="0" applyBorder="1" applyAlignment="1">
      <alignment horizontal="left" vertical="top" wrapText="1"/>
    </xf>
    <xf numFmtId="0" fontId="1" fillId="0" borderId="0" xfId="0" applyFont="1" applyAlignment="1" applyProtection="1">
      <alignment horizontal="right"/>
    </xf>
    <xf numFmtId="1" fontId="1" fillId="0" borderId="0" xfId="0" applyNumberFormat="1" applyFont="1" applyProtection="1"/>
    <xf numFmtId="0" fontId="0" fillId="0" borderId="11" xfId="0" applyBorder="1" applyAlignment="1">
      <alignment vertical="top" wrapText="1"/>
    </xf>
    <xf numFmtId="0" fontId="0" fillId="0" borderId="23" xfId="0" applyBorder="1" applyAlignment="1">
      <alignment vertical="top" wrapText="1"/>
    </xf>
    <xf numFmtId="166" fontId="1" fillId="3" borderId="9" xfId="0" applyNumberFormat="1" applyFont="1" applyFill="1" applyBorder="1" applyAlignment="1">
      <alignment horizontal="center"/>
    </xf>
    <xf numFmtId="0" fontId="0" fillId="0" borderId="0" xfId="0" applyBorder="1" applyAlignment="1">
      <alignment wrapText="1"/>
    </xf>
    <xf numFmtId="165" fontId="1" fillId="3" borderId="1" xfId="0" applyNumberFormat="1" applyFont="1" applyFill="1" applyBorder="1" applyAlignment="1">
      <alignment horizontal="center"/>
    </xf>
    <xf numFmtId="0" fontId="1" fillId="0" borderId="37" xfId="0" applyFont="1" applyBorder="1"/>
    <xf numFmtId="0" fontId="1" fillId="0" borderId="11" xfId="0" applyFont="1" applyBorder="1" applyAlignment="1">
      <alignment vertical="top" wrapText="1"/>
    </xf>
    <xf numFmtId="0" fontId="0" fillId="2" borderId="6" xfId="0" applyFill="1" applyBorder="1" applyAlignment="1" applyProtection="1">
      <alignment horizontal="left"/>
      <protection locked="0"/>
    </xf>
    <xf numFmtId="0" fontId="0" fillId="2" borderId="8" xfId="0" applyFill="1" applyBorder="1" applyAlignment="1" applyProtection="1">
      <alignment horizontal="left"/>
      <protection locked="0"/>
    </xf>
    <xf numFmtId="0" fontId="0" fillId="0" borderId="0" xfId="0" applyAlignment="1" applyProtection="1">
      <alignment horizontal="left"/>
    </xf>
    <xf numFmtId="0" fontId="12" fillId="0" borderId="3" xfId="0" applyFont="1" applyFill="1" applyBorder="1" applyAlignment="1" applyProtection="1">
      <alignment horizontal="left"/>
    </xf>
    <xf numFmtId="0" fontId="1" fillId="0" borderId="28" xfId="0" applyFont="1" applyFill="1" applyBorder="1" applyAlignment="1" applyProtection="1">
      <alignment horizontal="left"/>
    </xf>
    <xf numFmtId="0" fontId="1" fillId="0" borderId="2" xfId="0" applyFont="1" applyFill="1" applyBorder="1" applyAlignment="1" applyProtection="1">
      <alignment horizontal="left"/>
    </xf>
    <xf numFmtId="164" fontId="0" fillId="3" borderId="14" xfId="0" applyNumberFormat="1" applyFill="1" applyBorder="1" applyAlignment="1" applyProtection="1"/>
    <xf numFmtId="0" fontId="0" fillId="2" borderId="2" xfId="0" applyFill="1" applyBorder="1" applyAlignment="1" applyProtection="1">
      <protection locked="0"/>
    </xf>
    <xf numFmtId="0" fontId="0" fillId="2" borderId="2" xfId="0" applyFill="1" applyBorder="1" applyAlignment="1" applyProtection="1"/>
    <xf numFmtId="0" fontId="0" fillId="2" borderId="9" xfId="0" applyFill="1" applyBorder="1" applyAlignment="1" applyProtection="1">
      <alignment horizontal="center"/>
      <protection locked="0"/>
    </xf>
    <xf numFmtId="0" fontId="0" fillId="0" borderId="22" xfId="0" applyBorder="1"/>
    <xf numFmtId="0" fontId="0" fillId="2" borderId="11" xfId="0" applyFill="1" applyBorder="1" applyProtection="1">
      <protection locked="0"/>
    </xf>
    <xf numFmtId="0" fontId="0" fillId="0" borderId="23" xfId="0" applyBorder="1" applyAlignment="1">
      <alignment vertical="center"/>
    </xf>
    <xf numFmtId="0" fontId="13" fillId="0" borderId="0" xfId="0" applyFont="1" applyAlignment="1" applyProtection="1">
      <alignment horizontal="left"/>
    </xf>
    <xf numFmtId="164" fontId="0" fillId="3" borderId="40" xfId="0" applyNumberFormat="1" applyFill="1" applyBorder="1" applyAlignment="1" applyProtection="1"/>
    <xf numFmtId="0" fontId="1" fillId="0" borderId="22" xfId="0" applyFont="1" applyBorder="1"/>
    <xf numFmtId="164" fontId="1" fillId="0" borderId="11" xfId="0" applyNumberFormat="1" applyFont="1" applyFill="1" applyBorder="1" applyAlignment="1" applyProtection="1">
      <alignment horizontal="right"/>
    </xf>
    <xf numFmtId="0" fontId="0" fillId="0" borderId="23" xfId="0" applyBorder="1"/>
    <xf numFmtId="0" fontId="0" fillId="3" borderId="12" xfId="0" applyFill="1" applyBorder="1" applyProtection="1"/>
    <xf numFmtId="164" fontId="1" fillId="3" borderId="12" xfId="0" applyNumberFormat="1" applyFont="1" applyFill="1" applyBorder="1" applyAlignment="1" applyProtection="1">
      <alignment horizontal="right"/>
    </xf>
    <xf numFmtId="0" fontId="0" fillId="3" borderId="41" xfId="0" applyFill="1" applyBorder="1" applyProtection="1"/>
    <xf numFmtId="0" fontId="0" fillId="0" borderId="26" xfId="0" applyBorder="1"/>
    <xf numFmtId="0" fontId="0" fillId="0" borderId="27" xfId="0" applyBorder="1"/>
    <xf numFmtId="0" fontId="2" fillId="0" borderId="39" xfId="0" applyFont="1" applyBorder="1" applyProtection="1"/>
    <xf numFmtId="0" fontId="0" fillId="0" borderId="29" xfId="0" applyBorder="1"/>
    <xf numFmtId="0" fontId="1" fillId="0" borderId="38" xfId="0" applyFont="1" applyBorder="1"/>
    <xf numFmtId="0" fontId="0" fillId="2" borderId="0" xfId="0" applyFill="1" applyBorder="1" applyAlignment="1" applyProtection="1">
      <protection locked="0"/>
    </xf>
    <xf numFmtId="164" fontId="1" fillId="3" borderId="0" xfId="0" applyNumberFormat="1" applyFont="1" applyFill="1" applyBorder="1" applyAlignment="1" applyProtection="1">
      <alignment horizontal="right"/>
    </xf>
    <xf numFmtId="0" fontId="0" fillId="0" borderId="0" xfId="0" applyBorder="1" applyAlignment="1" applyProtection="1">
      <alignment vertical="center"/>
    </xf>
    <xf numFmtId="0" fontId="1" fillId="0" borderId="38" xfId="0" applyFont="1" applyBorder="1" applyAlignment="1">
      <alignment horizontal="right"/>
    </xf>
    <xf numFmtId="0" fontId="0" fillId="0" borderId="38" xfId="0" applyBorder="1"/>
    <xf numFmtId="0" fontId="1" fillId="0" borderId="38" xfId="0" applyFont="1" applyBorder="1" applyAlignment="1" applyProtection="1">
      <alignment horizontal="right"/>
    </xf>
    <xf numFmtId="0" fontId="1" fillId="0" borderId="2" xfId="0" applyFont="1" applyBorder="1" applyAlignment="1">
      <alignment horizontal="left" indent="2"/>
    </xf>
    <xf numFmtId="0" fontId="1" fillId="0" borderId="1" xfId="0" applyFont="1" applyBorder="1" applyAlignment="1">
      <alignment horizontal="left" indent="2"/>
    </xf>
    <xf numFmtId="0" fontId="1" fillId="0" borderId="0" xfId="0" applyFont="1" applyFill="1" applyBorder="1"/>
    <xf numFmtId="0" fontId="0" fillId="0" borderId="0" xfId="0" applyFill="1" applyBorder="1" applyAlignment="1" applyProtection="1">
      <alignment horizontal="left"/>
    </xf>
    <xf numFmtId="0" fontId="1" fillId="0" borderId="0" xfId="0" applyFont="1" applyFill="1" applyBorder="1" applyAlignment="1">
      <alignment horizontal="left" indent="11"/>
    </xf>
    <xf numFmtId="0" fontId="1" fillId="0" borderId="0" xfId="0" applyFont="1" applyFill="1" applyBorder="1" applyAlignment="1">
      <alignment horizontal="right"/>
    </xf>
    <xf numFmtId="14" fontId="0" fillId="0" borderId="0" xfId="0" applyNumberFormat="1" applyFill="1" applyBorder="1" applyAlignment="1" applyProtection="1">
      <alignment horizontal="left"/>
    </xf>
    <xf numFmtId="0" fontId="0" fillId="0" borderId="0" xfId="0" applyFill="1" applyBorder="1"/>
    <xf numFmtId="0" fontId="0" fillId="0" borderId="0" xfId="0" applyFill="1" applyAlignment="1" applyProtection="1">
      <alignment vertical="center"/>
    </xf>
    <xf numFmtId="0" fontId="1" fillId="0" borderId="0" xfId="0" applyFont="1" applyFill="1" applyProtection="1"/>
    <xf numFmtId="0" fontId="12" fillId="0" borderId="2" xfId="0" applyFont="1" applyBorder="1"/>
    <xf numFmtId="0" fontId="2" fillId="0" borderId="0" xfId="0" applyFont="1" applyBorder="1"/>
    <xf numFmtId="0" fontId="18" fillId="0" borderId="3" xfId="0" applyFont="1" applyBorder="1"/>
    <xf numFmtId="0" fontId="17" fillId="0" borderId="0" xfId="0" applyFont="1" applyBorder="1" applyAlignment="1">
      <alignment horizontal="left"/>
    </xf>
    <xf numFmtId="164" fontId="0" fillId="2" borderId="0" xfId="0" applyNumberFormat="1" applyFill="1" applyBorder="1" applyAlignment="1" applyProtection="1">
      <protection locked="0"/>
    </xf>
    <xf numFmtId="0" fontId="0" fillId="0" borderId="27" xfId="0" applyBorder="1" applyProtection="1"/>
    <xf numFmtId="0" fontId="1" fillId="0" borderId="38" xfId="0" applyFont="1" applyBorder="1" applyProtection="1"/>
    <xf numFmtId="0" fontId="0" fillId="0" borderId="29" xfId="0" applyBorder="1" applyProtection="1"/>
    <xf numFmtId="0" fontId="1" fillId="0" borderId="22" xfId="0" applyFont="1" applyBorder="1" applyProtection="1"/>
    <xf numFmtId="0" fontId="0" fillId="0" borderId="23" xfId="0" applyBorder="1" applyProtection="1"/>
    <xf numFmtId="0" fontId="0" fillId="0" borderId="7" xfId="0" applyBorder="1" applyProtection="1"/>
    <xf numFmtId="0" fontId="0" fillId="0" borderId="6" xfId="0" applyBorder="1" applyProtection="1"/>
    <xf numFmtId="0" fontId="0" fillId="0" borderId="36" xfId="0" applyBorder="1" applyProtection="1"/>
    <xf numFmtId="0" fontId="10" fillId="0" borderId="6" xfId="0" applyFont="1" applyBorder="1" applyProtection="1"/>
    <xf numFmtId="0" fontId="0" fillId="0" borderId="0" xfId="0" applyBorder="1" applyAlignment="1" applyProtection="1">
      <alignment horizontal="left" wrapText="1"/>
    </xf>
    <xf numFmtId="0" fontId="0" fillId="0" borderId="0" xfId="0" applyFill="1" applyBorder="1" applyAlignment="1" applyProtection="1">
      <alignment vertical="top" wrapText="1"/>
    </xf>
    <xf numFmtId="0" fontId="0" fillId="0" borderId="0" xfId="0" quotePrefix="1" applyFill="1" applyBorder="1" applyAlignment="1" applyProtection="1">
      <alignment vertical="top" wrapText="1"/>
    </xf>
    <xf numFmtId="1" fontId="1" fillId="3" borderId="1" xfId="0" applyNumberFormat="1" applyFont="1" applyFill="1" applyBorder="1" applyAlignment="1" applyProtection="1">
      <alignment horizontal="center"/>
    </xf>
    <xf numFmtId="0" fontId="1" fillId="0" borderId="2" xfId="0" applyFont="1" applyBorder="1" applyAlignment="1" applyProtection="1"/>
    <xf numFmtId="0" fontId="0" fillId="0" borderId="0" xfId="0" applyFill="1" applyBorder="1" applyAlignment="1" applyProtection="1">
      <alignment horizontal="left" vertical="top" wrapText="1"/>
    </xf>
    <xf numFmtId="0" fontId="0" fillId="3" borderId="2" xfId="0" applyFill="1" applyBorder="1" applyAlignment="1" applyProtection="1"/>
    <xf numFmtId="0" fontId="1" fillId="0" borderId="1" xfId="0" applyFont="1" applyBorder="1" applyAlignment="1" applyProtection="1">
      <alignment horizontal="left"/>
    </xf>
    <xf numFmtId="167" fontId="1" fillId="3" borderId="12" xfId="0" applyNumberFormat="1" applyFont="1" applyFill="1" applyBorder="1" applyAlignment="1" applyProtection="1">
      <alignment horizontal="right"/>
    </xf>
    <xf numFmtId="167" fontId="1" fillId="3" borderId="41" xfId="0" applyNumberFormat="1" applyFont="1" applyFill="1" applyBorder="1" applyAlignment="1" applyProtection="1"/>
    <xf numFmtId="167" fontId="0" fillId="0" borderId="11" xfId="0" applyNumberFormat="1" applyBorder="1" applyProtection="1"/>
    <xf numFmtId="167" fontId="1" fillId="3" borderId="1" xfId="0" applyNumberFormat="1" applyFont="1" applyFill="1" applyBorder="1" applyAlignment="1" applyProtection="1">
      <alignment horizontal="right"/>
    </xf>
    <xf numFmtId="167" fontId="1" fillId="3" borderId="11" xfId="0" applyNumberFormat="1" applyFont="1" applyFill="1" applyBorder="1" applyAlignment="1" applyProtection="1">
      <alignment horizontal="right"/>
    </xf>
    <xf numFmtId="167" fontId="0" fillId="0" borderId="0" xfId="0" applyNumberFormat="1" applyBorder="1" applyProtection="1"/>
    <xf numFmtId="167" fontId="1" fillId="3" borderId="1" xfId="0" applyNumberFormat="1" applyFont="1" applyFill="1" applyBorder="1" applyAlignment="1" applyProtection="1">
      <alignment horizontal="center"/>
    </xf>
    <xf numFmtId="0" fontId="1" fillId="0" borderId="1" xfId="0" applyFont="1" applyFill="1" applyBorder="1" applyAlignment="1" applyProtection="1">
      <alignment horizontal="center"/>
    </xf>
    <xf numFmtId="0" fontId="1" fillId="0" borderId="1" xfId="0" applyFont="1" applyBorder="1" applyAlignment="1" applyProtection="1">
      <alignment horizontal="center"/>
    </xf>
    <xf numFmtId="1" fontId="0" fillId="3" borderId="1" xfId="0" applyNumberFormat="1" applyFill="1" applyBorder="1" applyAlignment="1" applyProtection="1">
      <alignment horizontal="center"/>
    </xf>
    <xf numFmtId="164" fontId="0" fillId="3" borderId="1" xfId="0" applyNumberFormat="1" applyFill="1" applyBorder="1" applyAlignment="1" applyProtection="1">
      <alignment horizontal="center"/>
    </xf>
    <xf numFmtId="0" fontId="21" fillId="0" borderId="0" xfId="0" applyFont="1"/>
    <xf numFmtId="0" fontId="21" fillId="0" borderId="0" xfId="0" applyFont="1" applyAlignment="1">
      <alignment horizontal="right"/>
    </xf>
    <xf numFmtId="0" fontId="0" fillId="6" borderId="12" xfId="0" applyFill="1" applyBorder="1" applyProtection="1">
      <protection locked="0"/>
    </xf>
    <xf numFmtId="164" fontId="0" fillId="3" borderId="12" xfId="0" applyNumberFormat="1" applyFill="1" applyBorder="1"/>
    <xf numFmtId="0" fontId="21" fillId="0" borderId="12" xfId="0" applyFont="1" applyBorder="1"/>
    <xf numFmtId="0" fontId="21" fillId="3" borderId="12" xfId="0" applyFont="1" applyFill="1" applyBorder="1"/>
    <xf numFmtId="164" fontId="21" fillId="3" borderId="12" xfId="0" applyNumberFormat="1" applyFont="1" applyFill="1" applyBorder="1"/>
    <xf numFmtId="0" fontId="0" fillId="0" borderId="8" xfId="0" applyBorder="1" applyProtection="1"/>
    <xf numFmtId="0" fontId="0" fillId="0" borderId="9" xfId="0" applyBorder="1" applyProtection="1"/>
    <xf numFmtId="0" fontId="0" fillId="0" borderId="10" xfId="0" applyBorder="1" applyProtection="1"/>
    <xf numFmtId="0" fontId="0" fillId="0" borderId="37" xfId="0" applyBorder="1" applyProtection="1"/>
    <xf numFmtId="0" fontId="10" fillId="0" borderId="28" xfId="0" applyFont="1" applyBorder="1" applyProtection="1"/>
    <xf numFmtId="0" fontId="0" fillId="0" borderId="0" xfId="0" applyFont="1" applyProtection="1"/>
    <xf numFmtId="1" fontId="0" fillId="0" borderId="0" xfId="0" applyNumberFormat="1" applyFont="1" applyProtection="1"/>
    <xf numFmtId="0" fontId="1" fillId="0" borderId="6" xfId="0" applyFont="1" applyBorder="1" applyAlignment="1" applyProtection="1">
      <alignment horizontal="right"/>
    </xf>
    <xf numFmtId="164" fontId="22" fillId="0" borderId="1" xfId="0" applyNumberFormat="1" applyFont="1" applyFill="1" applyBorder="1" applyAlignment="1" applyProtection="1">
      <alignment horizontal="center"/>
    </xf>
    <xf numFmtId="1" fontId="1" fillId="3" borderId="1" xfId="0" applyNumberFormat="1" applyFont="1" applyFill="1" applyBorder="1" applyAlignment="1" applyProtection="1">
      <alignment horizontal="right"/>
    </xf>
    <xf numFmtId="0" fontId="1" fillId="0" borderId="33" xfId="0" applyFont="1" applyFill="1" applyBorder="1" applyAlignment="1" applyProtection="1">
      <alignment horizontal="right"/>
    </xf>
    <xf numFmtId="167" fontId="1" fillId="0" borderId="15" xfId="0" applyNumberFormat="1" applyFont="1" applyFill="1" applyBorder="1" applyAlignment="1" applyProtection="1">
      <alignment horizontal="center"/>
    </xf>
    <xf numFmtId="0" fontId="1" fillId="0" borderId="15" xfId="0" applyFont="1" applyFill="1" applyBorder="1" applyAlignment="1" applyProtection="1">
      <alignment horizontal="center"/>
    </xf>
    <xf numFmtId="1" fontId="1" fillId="0" borderId="15" xfId="0" applyNumberFormat="1" applyFont="1" applyFill="1" applyBorder="1" applyAlignment="1" applyProtection="1">
      <alignment horizontal="center"/>
    </xf>
    <xf numFmtId="0" fontId="1" fillId="0" borderId="36" xfId="0" applyFont="1" applyFill="1" applyBorder="1" applyProtection="1"/>
    <xf numFmtId="0" fontId="0" fillId="0" borderId="0" xfId="0" applyFill="1" applyBorder="1" applyAlignment="1" applyProtection="1">
      <alignment horizontal="left" wrapText="1"/>
    </xf>
    <xf numFmtId="0" fontId="0" fillId="0" borderId="0" xfId="0" applyFill="1" applyProtection="1"/>
    <xf numFmtId="0" fontId="0" fillId="0" borderId="0" xfId="0" applyFill="1" applyBorder="1" applyProtection="1"/>
    <xf numFmtId="0" fontId="10" fillId="0" borderId="33" xfId="0" applyFont="1" applyFill="1" applyBorder="1" applyAlignment="1" applyProtection="1">
      <alignment horizontal="left"/>
    </xf>
    <xf numFmtId="1" fontId="0" fillId="0" borderId="0" xfId="0" applyNumberFormat="1" applyProtection="1"/>
    <xf numFmtId="0" fontId="0" fillId="0" borderId="6" xfId="0" applyFont="1" applyBorder="1" applyAlignment="1" applyProtection="1">
      <alignment horizontal="right"/>
    </xf>
    <xf numFmtId="0" fontId="0" fillId="0" borderId="1" xfId="0" applyFont="1" applyBorder="1" applyAlignment="1" applyProtection="1">
      <alignment horizontal="center"/>
    </xf>
    <xf numFmtId="0" fontId="0" fillId="0" borderId="7" xfId="0" applyFont="1" applyBorder="1" applyProtection="1"/>
    <xf numFmtId="0" fontId="0" fillId="0" borderId="33" xfId="0" applyFont="1" applyBorder="1" applyProtection="1"/>
    <xf numFmtId="0" fontId="0" fillId="0" borderId="0" xfId="0" applyFont="1" applyAlignment="1" applyProtection="1">
      <alignment horizontal="right"/>
    </xf>
    <xf numFmtId="0" fontId="23" fillId="0" borderId="0" xfId="0" applyFont="1" applyBorder="1" applyProtection="1"/>
    <xf numFmtId="0" fontId="18" fillId="7" borderId="42" xfId="2" applyFont="1" applyFill="1" applyBorder="1" applyAlignment="1" applyProtection="1">
      <alignment horizontal="center" vertical="center" wrapText="1"/>
      <protection locked="0"/>
    </xf>
    <xf numFmtId="0" fontId="18" fillId="8" borderId="42" xfId="2" applyFont="1" applyFill="1" applyBorder="1" applyAlignment="1" applyProtection="1">
      <alignment horizontal="center" vertical="center" wrapText="1"/>
      <protection locked="0"/>
    </xf>
    <xf numFmtId="0" fontId="24" fillId="9" borderId="42" xfId="2" applyFont="1" applyFill="1" applyBorder="1" applyAlignment="1" applyProtection="1">
      <alignment horizontal="center" vertical="center" wrapText="1"/>
      <protection locked="0"/>
    </xf>
    <xf numFmtId="0" fontId="24" fillId="10" borderId="42" xfId="2" applyFont="1" applyFill="1" applyBorder="1" applyAlignment="1" applyProtection="1">
      <alignment horizontal="center" vertical="center" wrapText="1"/>
      <protection locked="0"/>
    </xf>
    <xf numFmtId="0" fontId="18" fillId="11" borderId="42" xfId="2" applyFont="1" applyFill="1" applyBorder="1" applyAlignment="1" applyProtection="1">
      <alignment horizontal="center" vertical="center" wrapText="1"/>
      <protection locked="0"/>
    </xf>
    <xf numFmtId="0" fontId="18" fillId="12" borderId="42" xfId="2" applyFont="1" applyFill="1" applyBorder="1" applyAlignment="1" applyProtection="1">
      <alignment horizontal="center" vertical="center" wrapText="1"/>
      <protection locked="0"/>
    </xf>
    <xf numFmtId="0" fontId="0" fillId="2" borderId="12" xfId="0" applyFill="1" applyBorder="1" applyAlignment="1" applyProtection="1">
      <alignment horizontal="center"/>
      <protection locked="0"/>
    </xf>
    <xf numFmtId="0" fontId="0" fillId="2" borderId="41" xfId="0" applyFill="1" applyBorder="1" applyAlignment="1" applyProtection="1">
      <alignment horizontal="center"/>
      <protection locked="0"/>
    </xf>
    <xf numFmtId="0" fontId="1" fillId="0" borderId="2" xfId="0" applyFont="1" applyBorder="1" applyAlignment="1">
      <alignment horizontal="left"/>
    </xf>
    <xf numFmtId="0" fontId="18" fillId="13" borderId="42" xfId="2" applyFont="1" applyFill="1" applyBorder="1" applyAlignment="1" applyProtection="1">
      <alignment horizontal="center" vertical="center" wrapText="1"/>
      <protection locked="0"/>
    </xf>
    <xf numFmtId="0" fontId="18" fillId="14" borderId="42" xfId="2" applyFont="1" applyFill="1" applyBorder="1" applyAlignment="1" applyProtection="1">
      <alignment horizontal="center" vertical="center" wrapText="1"/>
      <protection locked="0"/>
    </xf>
    <xf numFmtId="0" fontId="0" fillId="2" borderId="41" xfId="0" applyFill="1" applyBorder="1" applyProtection="1">
      <protection locked="0"/>
    </xf>
    <xf numFmtId="0" fontId="0" fillId="2" borderId="12" xfId="0" applyFill="1" applyBorder="1" applyProtection="1">
      <protection locked="0"/>
    </xf>
    <xf numFmtId="10" fontId="1" fillId="3" borderId="12" xfId="0" applyNumberFormat="1" applyFont="1" applyFill="1" applyBorder="1" applyAlignment="1" applyProtection="1">
      <alignment horizontal="right"/>
    </xf>
    <xf numFmtId="0" fontId="0" fillId="0" borderId="6" xfId="0" applyFont="1" applyBorder="1" applyAlignment="1">
      <alignment horizontal="right"/>
    </xf>
    <xf numFmtId="0" fontId="0" fillId="0" borderId="9" xfId="0" applyFont="1" applyBorder="1"/>
    <xf numFmtId="0" fontId="0" fillId="0" borderId="8" xfId="0" applyFont="1" applyBorder="1" applyAlignment="1">
      <alignment horizontal="right"/>
    </xf>
    <xf numFmtId="1" fontId="1" fillId="3" borderId="9" xfId="0" applyNumberFormat="1" applyFont="1" applyFill="1" applyBorder="1" applyAlignment="1">
      <alignment horizontal="center"/>
    </xf>
    <xf numFmtId="0" fontId="0" fillId="0" borderId="9" xfId="0" applyBorder="1"/>
    <xf numFmtId="0" fontId="0" fillId="0" borderId="10" xfId="0" applyBorder="1"/>
    <xf numFmtId="0" fontId="2" fillId="0" borderId="39" xfId="0" applyFont="1" applyBorder="1"/>
    <xf numFmtId="0" fontId="1" fillId="15" borderId="27" xfId="0" applyFont="1" applyFill="1" applyBorder="1"/>
    <xf numFmtId="0" fontId="1" fillId="0" borderId="26" xfId="0" applyFont="1" applyFill="1" applyBorder="1"/>
    <xf numFmtId="0" fontId="0" fillId="0" borderId="33" xfId="0" applyFont="1" applyBorder="1" applyAlignment="1">
      <alignment horizontal="right"/>
    </xf>
    <xf numFmtId="1" fontId="1" fillId="3" borderId="15" xfId="0" applyNumberFormat="1" applyFont="1" applyFill="1" applyBorder="1" applyAlignment="1">
      <alignment horizontal="center"/>
    </xf>
    <xf numFmtId="0" fontId="0" fillId="0" borderId="15" xfId="0" applyFont="1" applyBorder="1"/>
    <xf numFmtId="0" fontId="1" fillId="0" borderId="15" xfId="0" applyFont="1" applyBorder="1"/>
    <xf numFmtId="0" fontId="0" fillId="0" borderId="38" xfId="0" applyFont="1" applyFill="1" applyBorder="1" applyAlignment="1">
      <alignment horizontal="left"/>
    </xf>
    <xf numFmtId="0" fontId="0" fillId="0" borderId="29" xfId="0" applyFill="1" applyBorder="1"/>
    <xf numFmtId="0" fontId="1" fillId="0" borderId="4" xfId="0" applyFont="1" applyBorder="1"/>
    <xf numFmtId="0" fontId="0" fillId="3" borderId="1" xfId="0" applyFill="1" applyBorder="1" applyAlignment="1" applyProtection="1"/>
    <xf numFmtId="164" fontId="1" fillId="3" borderId="1" xfId="0" applyNumberFormat="1" applyFont="1" applyFill="1" applyBorder="1" applyAlignment="1" applyProtection="1">
      <alignment horizontal="center"/>
    </xf>
    <xf numFmtId="1" fontId="0" fillId="3" borderId="1" xfId="0" applyNumberFormat="1" applyFont="1" applyFill="1" applyBorder="1" applyAlignment="1">
      <alignment horizontal="center"/>
    </xf>
    <xf numFmtId="0" fontId="10" fillId="0" borderId="10" xfId="0" applyFont="1" applyBorder="1" applyAlignment="1" applyProtection="1"/>
    <xf numFmtId="0" fontId="25" fillId="0" borderId="0" xfId="0" applyFont="1"/>
    <xf numFmtId="0" fontId="1" fillId="0" borderId="44" xfId="0" applyFont="1" applyBorder="1" applyProtection="1"/>
    <xf numFmtId="0" fontId="1" fillId="0" borderId="43" xfId="0" applyFont="1" applyBorder="1" applyProtection="1"/>
    <xf numFmtId="0" fontId="0" fillId="0" borderId="38" xfId="0" applyBorder="1" applyAlignment="1">
      <alignment horizontal="left" vertical="center" wrapText="1"/>
    </xf>
    <xf numFmtId="0" fontId="0" fillId="0" borderId="0" xfId="0" applyAlignment="1">
      <alignment horizontal="left" vertical="center" wrapText="1"/>
    </xf>
    <xf numFmtId="0" fontId="0" fillId="4" borderId="24" xfId="0" applyFill="1" applyBorder="1" applyAlignment="1" applyProtection="1">
      <alignment horizontal="center" vertical="top" wrapText="1"/>
      <protection locked="0"/>
    </xf>
    <xf numFmtId="0" fontId="0" fillId="4" borderId="34" xfId="0" applyFill="1" applyBorder="1" applyAlignment="1" applyProtection="1">
      <alignment horizontal="center" vertical="top" wrapText="1"/>
      <protection locked="0"/>
    </xf>
    <xf numFmtId="0" fontId="0" fillId="4" borderId="35" xfId="0" applyFill="1" applyBorder="1" applyAlignment="1" applyProtection="1">
      <alignment horizontal="center" vertical="top" wrapText="1"/>
      <protection locked="0"/>
    </xf>
    <xf numFmtId="0" fontId="0" fillId="3" borderId="2" xfId="0" applyFill="1" applyBorder="1" applyAlignment="1" applyProtection="1">
      <alignment horizontal="left"/>
    </xf>
    <xf numFmtId="0" fontId="1" fillId="0" borderId="2" xfId="0" applyFont="1" applyBorder="1" applyAlignment="1">
      <alignment horizontal="left"/>
    </xf>
    <xf numFmtId="0" fontId="0" fillId="4" borderId="13" xfId="0" applyFill="1" applyBorder="1" applyAlignment="1" applyProtection="1">
      <alignment vertical="top" wrapText="1"/>
      <protection locked="0"/>
    </xf>
    <xf numFmtId="0" fontId="0" fillId="4" borderId="1" xfId="0" applyFill="1" applyBorder="1" applyAlignment="1" applyProtection="1">
      <alignment vertical="top" wrapText="1"/>
      <protection locked="0"/>
    </xf>
    <xf numFmtId="0" fontId="0" fillId="4" borderId="14" xfId="0" applyFill="1" applyBorder="1" applyAlignment="1" applyProtection="1">
      <alignment vertical="top" wrapText="1"/>
      <protection locked="0"/>
    </xf>
    <xf numFmtId="0" fontId="0" fillId="4" borderId="12" xfId="0" applyFill="1" applyBorder="1" applyAlignment="1" applyProtection="1">
      <alignment vertical="top" wrapText="1"/>
      <protection locked="0"/>
    </xf>
    <xf numFmtId="0" fontId="0" fillId="0" borderId="0" xfId="0" applyBorder="1" applyAlignment="1">
      <alignment horizontal="left" wrapText="1"/>
    </xf>
    <xf numFmtId="0" fontId="0" fillId="4" borderId="16" xfId="0" applyFill="1" applyBorder="1" applyAlignment="1" applyProtection="1">
      <alignment horizontal="center" vertical="top" wrapText="1"/>
      <protection locked="0"/>
    </xf>
    <xf numFmtId="0" fontId="0" fillId="4" borderId="17" xfId="0" applyFill="1" applyBorder="1" applyAlignment="1" applyProtection="1">
      <alignment horizontal="center" vertical="top" wrapText="1"/>
      <protection locked="0"/>
    </xf>
    <xf numFmtId="0" fontId="0" fillId="4" borderId="18" xfId="0" applyFill="1" applyBorder="1" applyAlignment="1" applyProtection="1">
      <alignment horizontal="center" vertical="top" wrapText="1"/>
      <protection locked="0"/>
    </xf>
    <xf numFmtId="0" fontId="0" fillId="4" borderId="19" xfId="0" applyFill="1" applyBorder="1" applyAlignment="1" applyProtection="1">
      <alignment horizontal="center" vertical="top" wrapText="1"/>
      <protection locked="0"/>
    </xf>
    <xf numFmtId="0" fontId="0" fillId="4" borderId="20" xfId="0" applyFill="1" applyBorder="1" applyAlignment="1" applyProtection="1">
      <alignment horizontal="center" vertical="top" wrapText="1"/>
      <protection locked="0"/>
    </xf>
    <xf numFmtId="0" fontId="0" fillId="4" borderId="21" xfId="0" applyFill="1" applyBorder="1" applyAlignment="1" applyProtection="1">
      <alignment horizontal="center" vertical="top" wrapText="1"/>
      <protection locked="0"/>
    </xf>
    <xf numFmtId="0" fontId="0" fillId="0" borderId="0" xfId="0" applyBorder="1" applyAlignment="1">
      <alignment wrapText="1"/>
    </xf>
    <xf numFmtId="0" fontId="0" fillId="4" borderId="24" xfId="0" applyFill="1" applyBorder="1" applyAlignment="1" applyProtection="1">
      <alignment vertical="top" wrapText="1"/>
      <protection locked="0"/>
    </xf>
    <xf numFmtId="0" fontId="0" fillId="4" borderId="34" xfId="0" applyFill="1" applyBorder="1" applyAlignment="1" applyProtection="1">
      <alignment vertical="top" wrapText="1"/>
      <protection locked="0"/>
    </xf>
    <xf numFmtId="0" fontId="0" fillId="4" borderId="35" xfId="0" applyFill="1" applyBorder="1" applyAlignment="1" applyProtection="1">
      <alignment vertical="top" wrapText="1"/>
      <protection locked="0"/>
    </xf>
    <xf numFmtId="0" fontId="0" fillId="4" borderId="16" xfId="0" applyFill="1" applyBorder="1" applyAlignment="1" applyProtection="1">
      <alignment horizontal="left" vertical="top" wrapText="1"/>
      <protection locked="0"/>
    </xf>
    <xf numFmtId="0" fontId="0" fillId="4" borderId="15" xfId="0" applyFill="1" applyBorder="1" applyAlignment="1" applyProtection="1">
      <alignment horizontal="left" vertical="top" wrapText="1"/>
      <protection locked="0"/>
    </xf>
    <xf numFmtId="0" fontId="0" fillId="4" borderId="17" xfId="0" applyFill="1" applyBorder="1" applyAlignment="1" applyProtection="1">
      <alignment horizontal="left" vertical="top" wrapText="1"/>
      <protection locked="0"/>
    </xf>
    <xf numFmtId="0" fontId="0" fillId="4" borderId="18"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19" xfId="0" applyFill="1" applyBorder="1" applyAlignment="1" applyProtection="1">
      <alignment horizontal="left" vertical="top" wrapText="1"/>
      <protection locked="0"/>
    </xf>
    <xf numFmtId="0" fontId="0" fillId="4" borderId="20" xfId="0" applyFill="1" applyBorder="1" applyAlignment="1" applyProtection="1">
      <alignment horizontal="left" vertical="top" wrapText="1"/>
      <protection locked="0"/>
    </xf>
    <xf numFmtId="0" fontId="0" fillId="4" borderId="2" xfId="0" applyFill="1" applyBorder="1" applyAlignment="1" applyProtection="1">
      <alignment horizontal="left" vertical="top" wrapText="1"/>
      <protection locked="0"/>
    </xf>
    <xf numFmtId="0" fontId="0" fillId="4" borderId="21" xfId="0" applyFill="1" applyBorder="1" applyAlignment="1" applyProtection="1">
      <alignment horizontal="left" vertical="top" wrapText="1"/>
      <protection locked="0"/>
    </xf>
    <xf numFmtId="0" fontId="1" fillId="0" borderId="22" xfId="0" applyFont="1" applyBorder="1" applyAlignment="1" applyProtection="1">
      <alignment horizontal="right"/>
    </xf>
    <xf numFmtId="0" fontId="1" fillId="0" borderId="11" xfId="0" applyFont="1" applyBorder="1" applyAlignment="1" applyProtection="1">
      <alignment horizontal="right"/>
    </xf>
    <xf numFmtId="0" fontId="1" fillId="0" borderId="6" xfId="0" applyFont="1" applyFill="1" applyBorder="1" applyAlignment="1" applyProtection="1">
      <alignment horizontal="right"/>
    </xf>
    <xf numFmtId="0" fontId="1" fillId="0" borderId="1" xfId="0" applyFont="1" applyFill="1" applyBorder="1" applyAlignment="1" applyProtection="1">
      <alignment horizontal="right"/>
    </xf>
    <xf numFmtId="0" fontId="1" fillId="0" borderId="6" xfId="0" applyFont="1" applyBorder="1" applyAlignment="1" applyProtection="1">
      <alignment horizontal="right"/>
    </xf>
    <xf numFmtId="0" fontId="1" fillId="0" borderId="1" xfId="0" applyFont="1" applyBorder="1" applyAlignment="1" applyProtection="1">
      <alignment horizontal="right"/>
    </xf>
    <xf numFmtId="0" fontId="1" fillId="0" borderId="0" xfId="0" applyFont="1" applyBorder="1" applyAlignment="1" applyProtection="1">
      <alignment horizontal="center"/>
    </xf>
    <xf numFmtId="0" fontId="1" fillId="0" borderId="2" xfId="0" applyFont="1" applyBorder="1" applyAlignment="1" applyProtection="1">
      <alignment horizontal="center"/>
    </xf>
    <xf numFmtId="0" fontId="0" fillId="4" borderId="13" xfId="0" applyFill="1" applyBorder="1" applyAlignment="1" applyProtection="1">
      <alignment horizontal="left" vertical="top" wrapText="1"/>
      <protection locked="0"/>
    </xf>
    <xf numFmtId="0" fontId="0" fillId="4" borderId="1" xfId="0" applyFill="1" applyBorder="1" applyAlignment="1" applyProtection="1">
      <alignment horizontal="left" vertical="top" wrapText="1"/>
      <protection locked="0"/>
    </xf>
    <xf numFmtId="0" fontId="0" fillId="4" borderId="14" xfId="0" applyFill="1" applyBorder="1" applyAlignment="1" applyProtection="1">
      <alignment horizontal="left" vertical="top" wrapText="1"/>
      <protection locked="0"/>
    </xf>
    <xf numFmtId="0" fontId="19" fillId="0" borderId="0" xfId="0" applyFont="1" applyFill="1" applyBorder="1" applyAlignment="1" applyProtection="1">
      <alignment horizontal="left" vertical="top" wrapText="1"/>
    </xf>
    <xf numFmtId="0" fontId="1" fillId="0" borderId="6" xfId="0" applyFont="1" applyFill="1" applyBorder="1" applyAlignment="1" applyProtection="1">
      <alignment horizontal="left"/>
      <protection locked="0"/>
    </xf>
    <xf numFmtId="0" fontId="1" fillId="0" borderId="1" xfId="0" applyFont="1" applyFill="1" applyBorder="1" applyAlignment="1" applyProtection="1">
      <alignment horizontal="left"/>
      <protection locked="0"/>
    </xf>
    <xf numFmtId="0" fontId="0" fillId="3" borderId="13" xfId="0" applyFill="1" applyBorder="1" applyAlignment="1" applyProtection="1">
      <alignment horizontal="left"/>
    </xf>
    <xf numFmtId="0" fontId="0" fillId="3" borderId="1" xfId="0" applyFill="1" applyBorder="1" applyAlignment="1" applyProtection="1">
      <alignment horizontal="left"/>
    </xf>
    <xf numFmtId="0" fontId="0" fillId="3" borderId="14" xfId="0" applyFill="1" applyBorder="1" applyAlignment="1" applyProtection="1">
      <alignment horizontal="left"/>
    </xf>
    <xf numFmtId="14" fontId="0" fillId="3" borderId="13" xfId="0" applyNumberFormat="1" applyFill="1" applyBorder="1" applyAlignment="1" applyProtection="1">
      <alignment horizontal="left"/>
    </xf>
    <xf numFmtId="14" fontId="0" fillId="3" borderId="1" xfId="0" applyNumberFormat="1" applyFill="1" applyBorder="1" applyAlignment="1" applyProtection="1">
      <alignment horizontal="left"/>
    </xf>
    <xf numFmtId="14" fontId="0" fillId="3" borderId="14" xfId="0" applyNumberFormat="1" applyFill="1" applyBorder="1" applyAlignment="1" applyProtection="1">
      <alignment horizontal="left"/>
    </xf>
    <xf numFmtId="0" fontId="1" fillId="0" borderId="39" xfId="0" applyFont="1" applyBorder="1" applyAlignment="1">
      <alignment horizontal="center" wrapText="1"/>
    </xf>
    <xf numFmtId="0" fontId="1" fillId="0" borderId="26" xfId="0" applyFont="1" applyBorder="1" applyAlignment="1">
      <alignment horizontal="center" wrapText="1"/>
    </xf>
    <xf numFmtId="0" fontId="1" fillId="0" borderId="27" xfId="0" applyFont="1" applyBorder="1" applyAlignment="1">
      <alignment horizontal="center" wrapText="1"/>
    </xf>
    <xf numFmtId="0" fontId="1" fillId="0" borderId="38" xfId="0" applyFont="1" applyBorder="1" applyAlignment="1">
      <alignment horizontal="center" wrapText="1"/>
    </xf>
    <xf numFmtId="0" fontId="1" fillId="0" borderId="0" xfId="0" applyFont="1" applyBorder="1" applyAlignment="1">
      <alignment horizontal="center" wrapText="1"/>
    </xf>
    <xf numFmtId="0" fontId="1" fillId="0" borderId="29" xfId="0" applyFont="1" applyBorder="1" applyAlignment="1">
      <alignment horizontal="center" wrapText="1"/>
    </xf>
    <xf numFmtId="0" fontId="1" fillId="4" borderId="4" xfId="0" applyFont="1" applyFill="1" applyBorder="1" applyAlignment="1" applyProtection="1">
      <alignment horizontal="left"/>
      <protection locked="0"/>
    </xf>
    <xf numFmtId="0" fontId="1" fillId="4" borderId="25" xfId="0" applyFont="1" applyFill="1" applyBorder="1" applyAlignment="1" applyProtection="1">
      <alignment horizontal="left"/>
      <protection locked="0"/>
    </xf>
    <xf numFmtId="0" fontId="1" fillId="5" borderId="17" xfId="0" applyFont="1" applyFill="1" applyBorder="1" applyAlignment="1" applyProtection="1">
      <alignment horizontal="center"/>
    </xf>
    <xf numFmtId="0" fontId="1" fillId="5" borderId="24" xfId="0" applyFont="1" applyFill="1" applyBorder="1" applyAlignment="1" applyProtection="1">
      <alignment horizontal="center"/>
    </xf>
    <xf numFmtId="0" fontId="1" fillId="5" borderId="30" xfId="0" applyFont="1" applyFill="1" applyBorder="1" applyAlignment="1" applyProtection="1">
      <alignment horizontal="center"/>
    </xf>
    <xf numFmtId="0" fontId="0" fillId="0" borderId="38" xfId="0" applyBorder="1" applyAlignment="1">
      <alignment horizontal="left" wrapText="1"/>
    </xf>
    <xf numFmtId="0" fontId="0" fillId="0" borderId="29" xfId="0" applyBorder="1" applyAlignment="1">
      <alignment horizontal="left" wrapText="1"/>
    </xf>
    <xf numFmtId="0" fontId="0" fillId="0" borderId="22" xfId="0" applyBorder="1" applyAlignment="1">
      <alignment horizontal="left" wrapText="1"/>
    </xf>
    <xf numFmtId="0" fontId="0" fillId="0" borderId="11" xfId="0" applyBorder="1" applyAlignment="1">
      <alignment horizontal="left" wrapText="1"/>
    </xf>
    <xf numFmtId="0" fontId="0" fillId="0" borderId="23" xfId="0" applyBorder="1" applyAlignment="1">
      <alignment horizontal="left" wrapText="1"/>
    </xf>
    <xf numFmtId="0" fontId="26" fillId="0" borderId="38" xfId="0" applyFont="1" applyBorder="1" applyAlignment="1">
      <alignment horizontal="center" wrapText="1"/>
    </xf>
    <xf numFmtId="0" fontId="0" fillId="0" borderId="0" xfId="0" applyFill="1" applyBorder="1" applyAlignment="1">
      <alignment wrapText="1"/>
    </xf>
  </cellXfs>
  <cellStyles count="3">
    <cellStyle name="Hyperlink" xfId="2" builtinId="8"/>
    <cellStyle name="Normal" xfId="0" builtinId="0"/>
    <cellStyle name="Normal 2" xfId="1" xr:uid="{00000000-0005-0000-0000-000002000000}"/>
  </cellStyles>
  <dxfs count="5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C000"/>
        </patternFill>
      </fill>
    </dxf>
    <dxf>
      <fill>
        <patternFill>
          <bgColor rgb="FFFFC000"/>
        </patternFill>
      </fill>
    </dxf>
    <dxf>
      <fill>
        <patternFill>
          <bgColor theme="5" tint="0.39994506668294322"/>
        </patternFill>
      </fill>
    </dxf>
    <dxf>
      <fill>
        <patternFill>
          <bgColor rgb="FF92D050"/>
        </patternFill>
      </fill>
    </dxf>
    <dxf>
      <fill>
        <patternFill>
          <bgColor theme="9" tint="0.59996337778862885"/>
        </patternFill>
      </fill>
    </dxf>
    <dxf>
      <fill>
        <patternFill>
          <bgColor theme="5" tint="0.39994506668294322"/>
        </patternFill>
      </fill>
    </dxf>
    <dxf>
      <fill>
        <patternFill>
          <bgColor rgb="FF92D050"/>
        </patternFill>
      </fill>
    </dxf>
    <dxf>
      <fill>
        <patternFill>
          <bgColor theme="9" tint="0.59996337778862885"/>
        </patternFill>
      </fill>
    </dxf>
    <dxf>
      <fill>
        <patternFill>
          <bgColor theme="5" tint="0.39994506668294322"/>
        </patternFill>
      </fill>
    </dxf>
    <dxf>
      <fill>
        <patternFill>
          <bgColor rgb="FF92D050"/>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CoBHS%20Advising\Graduation%20Tools\GrC--Majors%20gui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CoBHS%20Advising\Graduation%20Tools\Grad%20Coaching\--Graduation%20Workshe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JU"/>
      <sheetName val="HHP"/>
      <sheetName val="HSC"/>
      <sheetName val="NURS"/>
      <sheetName val="PSY"/>
      <sheetName val="SOWO"/>
      <sheetName val="Minors in other colleges"/>
      <sheetName val="Other info"/>
      <sheetName val="Other depts"/>
      <sheetName val="Internship Contacts"/>
      <sheetName val="Timeline Messages"/>
      <sheetName val="Target Dates"/>
      <sheetName val="GrC--Majors guide"/>
    </sheetNames>
    <definedNames>
      <definedName name="Task" refersTo="='Timeline Messages'!$B:$B"/>
    </definedNames>
    <sheetDataSet>
      <sheetData sheetId="0">
        <row r="1">
          <cell r="B1" t="str">
            <v>Note for me</v>
          </cell>
        </row>
      </sheetData>
      <sheetData sheetId="1">
        <row r="1">
          <cell r="B1" t="str">
            <v>Note for me</v>
          </cell>
        </row>
      </sheetData>
      <sheetData sheetId="2">
        <row r="1">
          <cell r="B1" t="str">
            <v>Note for me</v>
          </cell>
        </row>
      </sheetData>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udent Info"/>
      <sheetName val="Remaining Courses &amp; Reqs"/>
      <sheetName val="Timeline"/>
      <sheetName val="Timeline Templates"/>
      <sheetName val="Resources"/>
      <sheetName val="FAQs"/>
      <sheetName val="Overall GPA"/>
      <sheetName val="Incl GPA"/>
      <sheetName val="GPA--Major-Minor"/>
      <sheetName val="Data Lists"/>
      <sheetName val="Messages"/>
      <sheetName val="Timeline Messages"/>
      <sheetName val="Cum GPA"/>
    </sheetNames>
    <sheetDataSet>
      <sheetData sheetId="0">
        <row r="5">
          <cell r="B5" t="str">
            <v>blank</v>
          </cell>
        </row>
      </sheetData>
      <sheetData sheetId="1"/>
      <sheetData sheetId="2"/>
      <sheetData sheetId="3"/>
      <sheetData sheetId="4"/>
      <sheetData sheetId="5"/>
      <sheetData sheetId="6" refreshError="1"/>
      <sheetData sheetId="7" refreshError="1"/>
      <sheetData sheetId="8"/>
      <sheetData sheetId="9">
        <row r="1">
          <cell r="D1" t="str">
            <v>Grad Semester</v>
          </cell>
        </row>
      </sheetData>
      <sheetData sheetId="10"/>
      <sheetData sheetId="11">
        <row r="1">
          <cell r="B1" t="str">
            <v>Task</v>
          </cell>
        </row>
        <row r="2">
          <cell r="B2" t="str">
            <v>n/a</v>
          </cell>
        </row>
        <row r="5">
          <cell r="B5" t="str">
            <v>CDFS: 3390 internship arrangements (3 credit hrs, 100 hrs, fall only)</v>
          </cell>
        </row>
        <row r="6">
          <cell r="B6" t="str">
            <v>CDFS: 4101 internship arrangements (6 credit hrs, 300 hrs, spr/sum only)</v>
          </cell>
        </row>
        <row r="7">
          <cell r="B7" t="str">
            <v>Look into CFLE certification; Need C- or higher in certain classes</v>
          </cell>
        </row>
        <row r="8">
          <cell r="B8" t="str">
            <v>CPH (fa): Make internship arrangements (Deadline: Mid-March)</v>
          </cell>
        </row>
        <row r="9">
          <cell r="B9" t="str">
            <v>CPH (spr): Finalize internship arrangements (Deadline: Mid-Sept)</v>
          </cell>
        </row>
        <row r="10">
          <cell r="B10" t="str">
            <v>CPH (su): Make internship arrangements (Deadline: Mid-Feb)</v>
          </cell>
        </row>
        <row r="11">
          <cell r="B11" t="str">
            <v>CRJU Internship: Make arrangements, if planning to take CJA 4300 for 9 hrs elective credit</v>
          </cell>
        </row>
        <row r="12">
          <cell r="B12" t="str">
            <v>Dietetics Internship: Will be after graduation but start applying before last semester</v>
          </cell>
        </row>
        <row r="13">
          <cell r="B13" t="str">
            <v>ESCI (summer/fall grad): Make internship arrangements (Deadline: Mid-March)</v>
          </cell>
        </row>
        <row r="14">
          <cell r="B14" t="str">
            <v>ESCI (spring grad): Finalize internship arrangements (Deadline: Mid-October)</v>
          </cell>
        </row>
        <row r="15">
          <cell r="B15" t="str">
            <v>LSTS (spring grad): Submit EXL 4000 form</v>
          </cell>
        </row>
        <row r="16">
          <cell r="B16" t="str">
            <v>LSTS (spring grad): Finalize internship arrangements</v>
          </cell>
        </row>
        <row r="17">
          <cell r="B17" t="str">
            <v>LSTS (summer/fall grad): Submit EXL 4000 form</v>
          </cell>
        </row>
        <row r="18">
          <cell r="B18" t="str">
            <v>CDFS: 3390 internship arrangements (3 credit hrs, 100 hrs, fall only)</v>
          </cell>
        </row>
        <row r="19">
          <cell r="B19" t="str">
            <v>CDFS: 4101 internship arrangements (6 credit hrs, 300 hrs, spr/sum only)</v>
          </cell>
        </row>
        <row r="20">
          <cell r="B20" t="str">
            <v>Look into CFLE certification; Need C- or higher in certain classes</v>
          </cell>
        </row>
        <row r="21">
          <cell r="B21" t="str">
            <v>CPH (fa): Make internship arrangements (Deadline: Mid-March)</v>
          </cell>
        </row>
        <row r="22">
          <cell r="B22" t="str">
            <v>CPH (spr): Finalize internship arrangements (Deadline: Mid-Sept)</v>
          </cell>
        </row>
        <row r="23">
          <cell r="B23" t="str">
            <v>CPH (su): Make internship arrangements (Deadline: Mid-Feb)</v>
          </cell>
        </row>
        <row r="24">
          <cell r="B24" t="str">
            <v>CRJU Internship: Make arrangements, if planning to take CJA 4300 for 9 hrs elective credit</v>
          </cell>
        </row>
        <row r="25">
          <cell r="B25" t="str">
            <v>Dietetics Internship: Will be after graduation but start applying before last semester</v>
          </cell>
        </row>
        <row r="26">
          <cell r="B26" t="str">
            <v>ESCI (summer/fall grad): Make internship arrangements (Deadline: Mid-March)</v>
          </cell>
        </row>
        <row r="27">
          <cell r="B27" t="str">
            <v>ESCI (spring grad): Finalize internship arrangements (Deadline: Mid-October)</v>
          </cell>
        </row>
        <row r="28">
          <cell r="B28" t="str">
            <v>LSTS (spring grad): Submit EXL 4000 form</v>
          </cell>
        </row>
        <row r="29">
          <cell r="B29" t="str">
            <v>LSTS (spring grad): Finalize internship arrangements</v>
          </cell>
        </row>
        <row r="30">
          <cell r="B30" t="str">
            <v>LSTS (summer/fall grad): Submit EXL 4000 form</v>
          </cell>
        </row>
        <row r="31">
          <cell r="B31" t="str">
            <v>LSTS (summer/fall grad): Make internship arrangements</v>
          </cell>
        </row>
        <row r="32">
          <cell r="B32" t="str">
            <v>RN to BSN: Make or finalize Capstone arrangements</v>
          </cell>
        </row>
        <row r="33">
          <cell r="B33" t="str">
            <v>Nursing: Pinning Ceremony (optional)</v>
          </cell>
        </row>
        <row r="34">
          <cell r="B34" t="str">
            <v>SW: Make or finalize Field I &amp; II arrangements (Deadline: Early November for Field II)</v>
          </cell>
        </row>
        <row r="35">
          <cell r="B35" t="str">
            <v>ED: Apply to Teacher Licensure program (including Praxis Core exam if needed)</v>
          </cell>
        </row>
        <row r="36">
          <cell r="B36" t="str">
            <v>ED: Talk with your minor advisor about edTPA portfolio requirements, deadlines, etc.</v>
          </cell>
        </row>
        <row r="37">
          <cell r="B37" t="str">
            <v>ED: Notify College of Education after final grades are posted</v>
          </cell>
        </row>
        <row r="38">
          <cell r="B38" t="str">
            <v>Contact the MT One Stop to talk about financial aid options</v>
          </cell>
        </row>
        <row r="39">
          <cell r="B39" t="str">
            <v>Contact the MT One Stop to talk about financial aid options &amp; timing for summer</v>
          </cell>
        </row>
        <row r="40">
          <cell r="B40" t="str">
            <v>Look into student loan repayment options &amp; timeline</v>
          </cell>
        </row>
        <row r="41">
          <cell r="B41" t="str">
            <v>Veterans: Contact the Daniels Center regarding the Veterans Stole Ceremony</v>
          </cell>
        </row>
        <row r="42">
          <cell r="B42" t="str">
            <v>Pick up cap &amp; gown at Phillips Bookstore (or plan to wear military uniform)</v>
          </cell>
        </row>
        <row r="43">
          <cell r="B43" t="str">
            <v>Grad sch: Research graduate programs, graduate assistantships, etc. at schools of interest</v>
          </cell>
        </row>
        <row r="44">
          <cell r="B44" t="str">
            <v>Grad sch: Take GRE (or applicable graduate exam) at least 1 year before graduation</v>
          </cell>
        </row>
        <row r="45">
          <cell r="B45" t="str">
            <v>Look into graduation invitations, class rings, etc. if interested</v>
          </cell>
        </row>
        <row r="46">
          <cell r="B46" t="str">
            <v>Dbl maj: Watch for email from Registrar</v>
          </cell>
        </row>
        <row r="47">
          <cell r="B47" t="str">
            <v>Choose your minor</v>
          </cell>
        </row>
        <row r="48">
          <cell r="B48" t="str">
            <v>Meet with academic advisor to discuss academic plan</v>
          </cell>
        </row>
        <row r="49">
          <cell r="B49" t="str">
            <v>Meet with CBAS advisor to discuss pre-professional program</v>
          </cell>
        </row>
        <row r="50">
          <cell r="B50" t="str">
            <v>Meet with advisors to obtain signatures on upper division form</v>
          </cell>
        </row>
        <row r="51">
          <cell r="B51" t="str">
            <v>Submit graduation paperwork (mtsu.edu/one-stop/intentform.pdf)</v>
          </cell>
        </row>
        <row r="52">
          <cell r="B52" t="str">
            <v>Update your graduation semester</v>
          </cell>
        </row>
        <row r="53">
          <cell r="B53" t="str">
            <v>Watch MTSU email account for emails from graduation analyst</v>
          </cell>
        </row>
        <row r="54">
          <cell r="B54" t="str">
            <v>Visit the Graduation Info website</v>
          </cell>
        </row>
        <row r="55">
          <cell r="B55" t="str">
            <v>Complete exit exams</v>
          </cell>
        </row>
        <row r="56">
          <cell r="B56" t="str">
            <v>Request exit exam waiver</v>
          </cell>
        </row>
        <row r="57">
          <cell r="B57" t="str">
            <v>Pick up cap &amp; gown at Phillips Bookstore</v>
          </cell>
        </row>
        <row r="58">
          <cell r="B58" t="str">
            <v>Pick up cap &amp; gown at Phillips Bookstore (&amp; Latin Honors stole)</v>
          </cell>
        </row>
        <row r="59">
          <cell r="B59" t="str">
            <v>Optional: Senior Day (www.mtsu.edu/seniorday, midday, SUB Ballroom)</v>
          </cell>
        </row>
        <row r="60">
          <cell r="B60" t="str">
            <v>Attend the job fair (http://mtsu.edu/career/StudentFallFair.php)</v>
          </cell>
        </row>
        <row r="61">
          <cell r="B61" t="str">
            <v>If not attending graduation, submit absentia form</v>
          </cell>
        </row>
        <row r="62">
          <cell r="B62" t="str">
            <v>Schedule another grad coaching appointment with me!</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K19"/>
  <sheetViews>
    <sheetView tabSelected="1" workbookViewId="0">
      <selection activeCell="B6" sqref="B6"/>
    </sheetView>
  </sheetViews>
  <sheetFormatPr defaultRowHeight="13.2" x14ac:dyDescent="0.25"/>
  <cols>
    <col min="1" max="1" width="21" customWidth="1"/>
    <col min="4" max="5" width="11.5546875" bestFit="1" customWidth="1"/>
    <col min="7" max="7" width="24.88671875" customWidth="1"/>
    <col min="8" max="8" width="9" customWidth="1"/>
  </cols>
  <sheetData>
    <row r="1" spans="1:11" ht="17.399999999999999" x14ac:dyDescent="0.3">
      <c r="A1" s="37" t="s">
        <v>54</v>
      </c>
    </row>
    <row r="2" spans="1:11" s="12" customFormat="1" ht="12.75" customHeight="1" x14ac:dyDescent="0.25">
      <c r="A2" s="15" t="s">
        <v>6</v>
      </c>
      <c r="B2" s="123"/>
      <c r="C2" s="124"/>
      <c r="D2" s="124"/>
      <c r="F2" s="15" t="s">
        <v>8</v>
      </c>
      <c r="G2" s="18"/>
      <c r="I2" s="22"/>
      <c r="J2" s="22"/>
      <c r="K2" s="22"/>
    </row>
    <row r="3" spans="1:11" s="12" customFormat="1" x14ac:dyDescent="0.25">
      <c r="A3" s="2" t="s">
        <v>7</v>
      </c>
      <c r="B3" s="123"/>
      <c r="C3" s="124"/>
      <c r="D3" s="124"/>
      <c r="F3" s="2" t="s">
        <v>9</v>
      </c>
      <c r="G3" s="60"/>
      <c r="I3" s="22"/>
      <c r="J3" s="22"/>
      <c r="K3" s="22"/>
    </row>
    <row r="4" spans="1:11" x14ac:dyDescent="0.25">
      <c r="I4" s="36"/>
    </row>
    <row r="5" spans="1:11" ht="17.399999999999999" x14ac:dyDescent="0.3">
      <c r="A5" s="86" t="str">
        <f>CONCATENATE("B. Current "&amp;$G$9&amp;" GPA")</f>
        <v>B. Current Overall GPA</v>
      </c>
      <c r="B5" s="42"/>
      <c r="C5" s="42"/>
      <c r="D5" s="42"/>
    </row>
    <row r="6" spans="1:11" x14ac:dyDescent="0.25">
      <c r="A6" s="46" t="str">
        <f>CONCATENATE("Current "&amp;$G$9&amp;" Qhrs")</f>
        <v>Current Overall Qhrs</v>
      </c>
      <c r="B6" s="20"/>
      <c r="C6" s="41">
        <f>IFERROR(B7/B6,0)</f>
        <v>0</v>
      </c>
      <c r="D6" s="21" t="s">
        <v>35</v>
      </c>
    </row>
    <row r="7" spans="1:11" x14ac:dyDescent="0.25">
      <c r="A7" s="46" t="str">
        <f>CONCATENATE("Current "&amp;$G$9&amp;" Qpts")</f>
        <v>Current Overall Qpts</v>
      </c>
      <c r="B7" s="20"/>
      <c r="C7" s="21"/>
      <c r="D7" s="21"/>
    </row>
    <row r="8" spans="1:11" x14ac:dyDescent="0.25">
      <c r="A8" s="46"/>
      <c r="B8" s="21"/>
      <c r="C8" s="21"/>
      <c r="D8" s="21"/>
    </row>
    <row r="9" spans="1:11" x14ac:dyDescent="0.25">
      <c r="A9" s="46" t="s">
        <v>203</v>
      </c>
      <c r="B9" s="19" t="s">
        <v>204</v>
      </c>
      <c r="C9" s="21" t="s">
        <v>205</v>
      </c>
      <c r="D9" s="21"/>
      <c r="G9" s="258" t="str">
        <f>IF(B9="yes","Inclusive","Overall")</f>
        <v>Overall</v>
      </c>
    </row>
    <row r="11" spans="1:11" ht="18" thickBot="1" x14ac:dyDescent="0.35">
      <c r="A11" s="87" t="s">
        <v>55</v>
      </c>
      <c r="B11" s="36"/>
      <c r="C11" s="36"/>
      <c r="D11" s="223" t="s">
        <v>167</v>
      </c>
      <c r="E11" s="36"/>
    </row>
    <row r="12" spans="1:11" ht="28.5" customHeight="1" thickBot="1" x14ac:dyDescent="0.3">
      <c r="A12" s="224" t="s">
        <v>168</v>
      </c>
      <c r="B12" s="23" t="s">
        <v>50</v>
      </c>
    </row>
    <row r="13" spans="1:11" ht="28.5" customHeight="1" thickBot="1" x14ac:dyDescent="0.3">
      <c r="A13" s="225" t="s">
        <v>169</v>
      </c>
      <c r="B13" s="23" t="s">
        <v>51</v>
      </c>
    </row>
    <row r="14" spans="1:11" ht="28.5" customHeight="1" thickBot="1" x14ac:dyDescent="0.3">
      <c r="A14" s="234" t="s">
        <v>170</v>
      </c>
      <c r="B14" s="23" t="s">
        <v>123</v>
      </c>
    </row>
    <row r="15" spans="1:11" ht="28.5" customHeight="1" thickBot="1" x14ac:dyDescent="0.3">
      <c r="A15" s="226" t="s">
        <v>171</v>
      </c>
      <c r="B15" s="23" t="s">
        <v>99</v>
      </c>
    </row>
    <row r="16" spans="1:11" ht="28.5" customHeight="1" thickBot="1" x14ac:dyDescent="0.3">
      <c r="A16" s="227" t="s">
        <v>172</v>
      </c>
      <c r="B16" s="23" t="s">
        <v>84</v>
      </c>
    </row>
    <row r="17" spans="1:7" ht="28.5" customHeight="1" thickBot="1" x14ac:dyDescent="0.3">
      <c r="A17" s="228" t="s">
        <v>173</v>
      </c>
      <c r="B17" s="23" t="s">
        <v>52</v>
      </c>
    </row>
    <row r="18" spans="1:7" ht="28.5" customHeight="1" thickBot="1" x14ac:dyDescent="0.3">
      <c r="A18" s="233" t="s">
        <v>196</v>
      </c>
      <c r="B18" s="261" t="s">
        <v>197</v>
      </c>
      <c r="C18" s="262"/>
      <c r="D18" s="262"/>
      <c r="E18" s="262"/>
      <c r="F18" s="262"/>
      <c r="G18" s="262"/>
    </row>
    <row r="19" spans="1:7" ht="28.5" customHeight="1" thickBot="1" x14ac:dyDescent="0.3">
      <c r="A19" s="229" t="s">
        <v>174</v>
      </c>
      <c r="B19" s="23" t="s">
        <v>136</v>
      </c>
    </row>
  </sheetData>
  <sheetProtection sheet="1" objects="1" scenarios="1"/>
  <mergeCells count="1">
    <mergeCell ref="B18:G18"/>
  </mergeCells>
  <conditionalFormatting sqref="C6">
    <cfRule type="cellIs" dxfId="57" priority="2" operator="greaterThan">
      <formula>4</formula>
    </cfRule>
  </conditionalFormatting>
  <dataValidations count="1">
    <dataValidation type="list" allowBlank="1" showInputMessage="1" showErrorMessage="1" sqref="B9" xr:uid="{691AC263-B48D-4396-91F8-5ED58B644DD2}">
      <formula1>"No, Yes"</formula1>
    </dataValidation>
  </dataValidations>
  <pageMargins left="0.7" right="0.7" top="0.75" bottom="0.75" header="0.3" footer="0.3"/>
  <pageSetup orientation="portrait" horizontalDpi="1200" verticalDpi="1200"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theme="0" tint="-0.249977111117893"/>
  </sheetPr>
  <dimension ref="A1:B16"/>
  <sheetViews>
    <sheetView workbookViewId="0">
      <selection activeCell="V38" sqref="V38"/>
    </sheetView>
  </sheetViews>
  <sheetFormatPr defaultRowHeight="13.2" x14ac:dyDescent="0.25"/>
  <cols>
    <col min="1" max="1" width="6.5546875" bestFit="1" customWidth="1"/>
    <col min="2" max="2" width="5" bestFit="1" customWidth="1"/>
  </cols>
  <sheetData>
    <row r="1" spans="1:2" s="30" customFormat="1" x14ac:dyDescent="0.25">
      <c r="A1" s="30" t="s">
        <v>18</v>
      </c>
      <c r="B1" s="32" t="s">
        <v>12</v>
      </c>
    </row>
    <row r="2" spans="1:2" x14ac:dyDescent="0.25">
      <c r="A2" t="s">
        <v>14</v>
      </c>
      <c r="B2" s="33">
        <v>4</v>
      </c>
    </row>
    <row r="3" spans="1:2" x14ac:dyDescent="0.25">
      <c r="A3" t="s">
        <v>32</v>
      </c>
      <c r="B3" s="33">
        <v>3.67</v>
      </c>
    </row>
    <row r="4" spans="1:2" x14ac:dyDescent="0.25">
      <c r="A4" t="s">
        <v>22</v>
      </c>
      <c r="B4" s="33">
        <v>3.33</v>
      </c>
    </row>
    <row r="5" spans="1:2" x14ac:dyDescent="0.25">
      <c r="A5" t="s">
        <v>15</v>
      </c>
      <c r="B5" s="33">
        <v>3</v>
      </c>
    </row>
    <row r="6" spans="1:2" x14ac:dyDescent="0.25">
      <c r="A6" t="s">
        <v>23</v>
      </c>
      <c r="B6" s="33">
        <v>2.67</v>
      </c>
    </row>
    <row r="7" spans="1:2" x14ac:dyDescent="0.25">
      <c r="A7" t="s">
        <v>24</v>
      </c>
      <c r="B7" s="33">
        <v>2.33</v>
      </c>
    </row>
    <row r="8" spans="1:2" x14ac:dyDescent="0.25">
      <c r="A8" t="s">
        <v>26</v>
      </c>
      <c r="B8" s="33">
        <v>2</v>
      </c>
    </row>
    <row r="9" spans="1:2" x14ac:dyDescent="0.25">
      <c r="A9" t="s">
        <v>25</v>
      </c>
      <c r="B9" s="33">
        <v>1.67</v>
      </c>
    </row>
    <row r="10" spans="1:2" x14ac:dyDescent="0.25">
      <c r="A10" t="s">
        <v>27</v>
      </c>
      <c r="B10" s="33">
        <v>1.33</v>
      </c>
    </row>
    <row r="11" spans="1:2" x14ac:dyDescent="0.25">
      <c r="A11" t="s">
        <v>16</v>
      </c>
      <c r="B11" s="33">
        <v>1</v>
      </c>
    </row>
    <row r="12" spans="1:2" x14ac:dyDescent="0.25">
      <c r="A12" t="s">
        <v>28</v>
      </c>
      <c r="B12" s="33">
        <v>0.67</v>
      </c>
    </row>
    <row r="13" spans="1:2" x14ac:dyDescent="0.25">
      <c r="A13" t="s">
        <v>13</v>
      </c>
      <c r="B13" s="33">
        <v>0</v>
      </c>
    </row>
    <row r="14" spans="1:2" x14ac:dyDescent="0.25">
      <c r="A14" t="s">
        <v>29</v>
      </c>
    </row>
    <row r="15" spans="1:2" x14ac:dyDescent="0.25">
      <c r="A15" t="s">
        <v>30</v>
      </c>
    </row>
    <row r="16" spans="1:2" x14ac:dyDescent="0.25">
      <c r="A16" t="s">
        <v>31</v>
      </c>
    </row>
  </sheetData>
  <sheetProtection sheet="1" objects="1" scenario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L51"/>
  <sheetViews>
    <sheetView workbookViewId="0">
      <selection activeCell="A9" sqref="A9"/>
    </sheetView>
  </sheetViews>
  <sheetFormatPr defaultColWidth="9.109375" defaultRowHeight="13.2" x14ac:dyDescent="0.25"/>
  <cols>
    <col min="1" max="1" width="20.33203125" style="12" customWidth="1"/>
    <col min="2" max="2" width="8.109375" style="12" bestFit="1" customWidth="1"/>
    <col min="3" max="3" width="12.6640625" style="12" bestFit="1" customWidth="1"/>
    <col min="4" max="4" width="9.109375" style="12"/>
    <col min="5" max="5" width="11.5546875" style="12" bestFit="1" customWidth="1"/>
    <col min="6" max="6" width="12.5546875" style="12" customWidth="1"/>
    <col min="7" max="7" width="3" style="12" customWidth="1"/>
    <col min="8" max="8" width="24.88671875" style="12" customWidth="1"/>
    <col min="9" max="9" width="9.109375" style="12"/>
    <col min="10" max="10" width="9.109375" style="23"/>
    <col min="11" max="11" width="36.109375" style="23" customWidth="1"/>
    <col min="12" max="12" width="59.6640625" style="34" customWidth="1"/>
    <col min="13" max="16384" width="9.109375" style="12"/>
  </cols>
  <sheetData>
    <row r="1" spans="1:12" ht="12.75" customHeight="1" x14ac:dyDescent="0.25">
      <c r="A1" s="15" t="s">
        <v>6</v>
      </c>
      <c r="B1" s="266" t="str">
        <f>IF('Start Here!'!B2:D2&lt;&gt;"",'Start Here!'!B2:D2,"")</f>
        <v/>
      </c>
      <c r="C1" s="266"/>
      <c r="D1" s="266"/>
      <c r="F1" s="89" t="s">
        <v>8</v>
      </c>
      <c r="G1" s="15"/>
      <c r="H1" s="81" t="str">
        <f>IF('Start Here!'!G2&lt;&gt;"",'Start Here!'!G2,"")</f>
        <v/>
      </c>
      <c r="J1" s="22"/>
      <c r="K1" s="22"/>
    </row>
    <row r="2" spans="1:12" x14ac:dyDescent="0.25">
      <c r="A2" s="2" t="s">
        <v>7</v>
      </c>
      <c r="B2" s="266" t="str">
        <f>IF('Start Here!'!B3:D3&lt;&gt;"",'Start Here!'!B3:D3,"")</f>
        <v/>
      </c>
      <c r="C2" s="266"/>
      <c r="D2" s="266"/>
      <c r="F2" s="90" t="s">
        <v>9</v>
      </c>
      <c r="G2" s="2"/>
      <c r="H2" s="81" t="str">
        <f>IF('Start Here!'!G3&lt;&gt;"",'Start Here!'!G3,"")</f>
        <v/>
      </c>
      <c r="J2" s="22"/>
      <c r="K2" s="22"/>
      <c r="L2" s="35"/>
    </row>
    <row r="3" spans="1:12" ht="13.8" thickBot="1" x14ac:dyDescent="0.3">
      <c r="H3" s="36"/>
      <c r="L3" s="80" t="s">
        <v>41</v>
      </c>
    </row>
    <row r="4" spans="1:12" ht="17.399999999999999" x14ac:dyDescent="0.3">
      <c r="A4" s="139" t="s">
        <v>35</v>
      </c>
      <c r="B4" s="5"/>
      <c r="C4" s="137"/>
      <c r="D4" s="5"/>
      <c r="E4" s="138"/>
      <c r="H4" s="23"/>
      <c r="I4" s="23"/>
      <c r="K4" s="12"/>
      <c r="L4" s="263"/>
    </row>
    <row r="5" spans="1:12" x14ac:dyDescent="0.25">
      <c r="A5" s="259" t="str">
        <f>CONCATENATE("Current "&amp;'Start Here!'!$G$9&amp;" Qhrs")</f>
        <v>Current Overall Qhrs</v>
      </c>
      <c r="B5" s="134" t="str">
        <f>IF('Start Here!'!B6&lt;&gt;"",'Start Here!'!B6,"")</f>
        <v/>
      </c>
      <c r="D5" s="135">
        <f>'Start Here!'!C6</f>
        <v>0</v>
      </c>
      <c r="E5" s="140" t="s">
        <v>35</v>
      </c>
      <c r="H5" s="23"/>
      <c r="I5" s="23"/>
      <c r="J5" s="34"/>
      <c r="K5" s="12"/>
      <c r="L5" s="264"/>
    </row>
    <row r="6" spans="1:12" ht="13.5" customHeight="1" thickBot="1" x14ac:dyDescent="0.3">
      <c r="A6" s="260" t="str">
        <f>CONCATENATE("Current "&amp;'Start Here!'!$G$9&amp;" Qpts")</f>
        <v>Current Overall Qpts</v>
      </c>
      <c r="B6" s="136" t="str">
        <f>IF('Start Here!'!B7&lt;&gt;"",'Start Here!'!B7,"")</f>
        <v/>
      </c>
      <c r="C6" s="14"/>
      <c r="D6" s="132"/>
      <c r="E6" s="133"/>
      <c r="H6" s="23"/>
      <c r="I6" s="23"/>
      <c r="J6" s="34"/>
      <c r="K6" s="12"/>
      <c r="L6" s="264"/>
    </row>
    <row r="7" spans="1:12" ht="13.8" thickBot="1" x14ac:dyDescent="0.3">
      <c r="A7" s="3"/>
      <c r="B7" s="14"/>
      <c r="C7" s="14"/>
      <c r="D7" s="14"/>
      <c r="E7" s="14"/>
      <c r="F7" s="14"/>
      <c r="H7" s="17" t="s">
        <v>11</v>
      </c>
      <c r="L7" s="264"/>
    </row>
    <row r="8" spans="1:12" ht="17.399999999999999" x14ac:dyDescent="0.3">
      <c r="A8" s="4" t="s">
        <v>56</v>
      </c>
      <c r="B8" s="5"/>
      <c r="C8" s="5"/>
      <c r="D8" s="5"/>
      <c r="E8" s="5"/>
      <c r="F8" s="6"/>
      <c r="H8" s="271"/>
      <c r="L8" s="265"/>
    </row>
    <row r="9" spans="1:12" x14ac:dyDescent="0.25">
      <c r="A9" s="7" t="s">
        <v>0</v>
      </c>
      <c r="B9" s="19"/>
      <c r="C9" s="1" t="s">
        <v>37</v>
      </c>
      <c r="D9" s="1"/>
      <c r="E9" s="1"/>
      <c r="F9" s="8"/>
      <c r="H9" s="271"/>
    </row>
    <row r="10" spans="1:12" ht="12.75" customHeight="1" x14ac:dyDescent="0.25">
      <c r="A10" s="7" t="s">
        <v>1</v>
      </c>
      <c r="B10" s="20"/>
      <c r="C10" s="1" t="s">
        <v>38</v>
      </c>
      <c r="D10" s="1"/>
      <c r="E10" s="1"/>
      <c r="F10" s="8"/>
      <c r="H10" s="271"/>
      <c r="J10" s="26"/>
      <c r="K10" s="26"/>
    </row>
    <row r="11" spans="1:12" x14ac:dyDescent="0.25">
      <c r="A11" s="96" t="s">
        <v>3</v>
      </c>
      <c r="B11" s="97" t="str">
        <f>IF(B9="","",B9)</f>
        <v/>
      </c>
      <c r="C11" s="2" t="s">
        <v>2</v>
      </c>
      <c r="D11" s="98">
        <f>IFERROR(SUM(SUM(B5+B9)*B10-B6)/B11,0)</f>
        <v>0</v>
      </c>
      <c r="E11" s="2" t="s">
        <v>5</v>
      </c>
      <c r="F11" s="8"/>
      <c r="H11" s="271"/>
    </row>
    <row r="12" spans="1:12" ht="13.8" thickBot="1" x14ac:dyDescent="0.3">
      <c r="A12" s="10" t="s">
        <v>64</v>
      </c>
      <c r="B12" s="95" t="str">
        <f>IFERROR(SUM(B11/12),"")</f>
        <v/>
      </c>
      <c r="C12" s="11" t="s">
        <v>65</v>
      </c>
      <c r="D12" s="11"/>
      <c r="E12" s="11"/>
      <c r="F12" s="99" t="str">
        <f>IFERROR(SUM(B12*4535),"")</f>
        <v/>
      </c>
      <c r="H12" s="271"/>
    </row>
    <row r="13" spans="1:12" ht="13.8" thickBot="1" x14ac:dyDescent="0.3">
      <c r="H13" s="16"/>
    </row>
    <row r="14" spans="1:12" ht="17.399999999999999" x14ac:dyDescent="0.3">
      <c r="A14" s="4" t="s">
        <v>77</v>
      </c>
      <c r="B14" s="5"/>
      <c r="C14" s="5"/>
      <c r="D14" s="5"/>
      <c r="E14" s="5"/>
      <c r="F14" s="6"/>
      <c r="H14" s="271"/>
    </row>
    <row r="15" spans="1:12" x14ac:dyDescent="0.25">
      <c r="A15" s="7" t="s">
        <v>4</v>
      </c>
      <c r="B15" s="20"/>
      <c r="C15" s="1" t="s">
        <v>39</v>
      </c>
      <c r="D15" s="1"/>
      <c r="E15" s="1"/>
      <c r="F15" s="8"/>
      <c r="H15" s="271"/>
    </row>
    <row r="16" spans="1:12" x14ac:dyDescent="0.25">
      <c r="A16" s="7" t="s">
        <v>1</v>
      </c>
      <c r="B16" s="13">
        <v>3</v>
      </c>
      <c r="C16" s="1"/>
      <c r="D16" s="1"/>
      <c r="E16" s="1"/>
      <c r="F16" s="8"/>
      <c r="H16" s="271"/>
    </row>
    <row r="17" spans="1:12" x14ac:dyDescent="0.25">
      <c r="A17" s="96" t="s">
        <v>3</v>
      </c>
      <c r="B17" s="97" t="str">
        <f>IFERROR(IF(B15&lt;&gt;"",ROUNDUP((B16*$B$5-$B$6)/SUM(B15-B16),0),""),0)</f>
        <v/>
      </c>
      <c r="C17" s="2" t="s">
        <v>2</v>
      </c>
      <c r="D17" s="98">
        <f>B15</f>
        <v>0</v>
      </c>
      <c r="E17" s="2" t="s">
        <v>5</v>
      </c>
      <c r="F17" s="8"/>
      <c r="H17" s="271"/>
    </row>
    <row r="18" spans="1:12" ht="13.8" thickBot="1" x14ac:dyDescent="0.3">
      <c r="A18" s="10" t="s">
        <v>64</v>
      </c>
      <c r="B18" s="95" t="str">
        <f>IFERROR(SUM(B17/12),"")</f>
        <v/>
      </c>
      <c r="C18" s="11" t="s">
        <v>65</v>
      </c>
      <c r="D18" s="11"/>
      <c r="E18" s="11"/>
      <c r="F18" s="99" t="str">
        <f>IFERROR(SUM(B18*4535),"")</f>
        <v/>
      </c>
      <c r="H18" s="271"/>
    </row>
    <row r="19" spans="1:12" ht="13.8" thickBot="1" x14ac:dyDescent="0.3">
      <c r="H19" s="16"/>
    </row>
    <row r="20" spans="1:12" ht="17.399999999999999" x14ac:dyDescent="0.3">
      <c r="A20" s="4" t="s">
        <v>78</v>
      </c>
      <c r="B20" s="5"/>
      <c r="C20" s="5"/>
      <c r="D20" s="5"/>
      <c r="E20" s="5"/>
      <c r="F20" s="6"/>
      <c r="H20" s="271"/>
    </row>
    <row r="21" spans="1:12" x14ac:dyDescent="0.25">
      <c r="A21" s="7" t="s">
        <v>4</v>
      </c>
      <c r="B21" s="20"/>
      <c r="C21" s="1" t="s">
        <v>39</v>
      </c>
      <c r="D21" s="1"/>
      <c r="E21" s="1"/>
      <c r="F21" s="8"/>
      <c r="H21" s="271"/>
    </row>
    <row r="22" spans="1:12" x14ac:dyDescent="0.25">
      <c r="A22" s="7" t="s">
        <v>1</v>
      </c>
      <c r="B22" s="13">
        <v>3.5</v>
      </c>
      <c r="C22" s="1"/>
      <c r="D22" s="1"/>
      <c r="E22" s="1"/>
      <c r="F22" s="8"/>
      <c r="H22" s="271"/>
    </row>
    <row r="23" spans="1:12" x14ac:dyDescent="0.25">
      <c r="A23" s="96" t="s">
        <v>3</v>
      </c>
      <c r="B23" s="97" t="str">
        <f>IFERROR(IF(B21&lt;&gt;"",ROUNDUP((B22*$B$5-$B$6)/SUM(B21-B22),0),""),0)</f>
        <v/>
      </c>
      <c r="C23" s="2" t="s">
        <v>2</v>
      </c>
      <c r="D23" s="98">
        <f>B21</f>
        <v>0</v>
      </c>
      <c r="E23" s="2" t="s">
        <v>5</v>
      </c>
      <c r="F23" s="8"/>
      <c r="H23" s="271"/>
    </row>
    <row r="24" spans="1:12" ht="13.8" thickBot="1" x14ac:dyDescent="0.3">
      <c r="A24" s="10" t="s">
        <v>64</v>
      </c>
      <c r="B24" s="95" t="str">
        <f>IFERROR(SUM(B23/12),"")</f>
        <v/>
      </c>
      <c r="C24" s="11" t="s">
        <v>65</v>
      </c>
      <c r="D24" s="11"/>
      <c r="E24" s="11"/>
      <c r="F24" s="99" t="str">
        <f>IFERROR(SUM(B24*4535),"")</f>
        <v/>
      </c>
      <c r="H24" s="271"/>
    </row>
    <row r="25" spans="1:12" ht="13.8" thickBot="1" x14ac:dyDescent="0.3">
      <c r="A25" s="3"/>
      <c r="B25" s="3"/>
      <c r="C25" s="3"/>
      <c r="D25" s="3"/>
      <c r="E25" s="3"/>
      <c r="F25" s="3"/>
      <c r="H25" s="16"/>
    </row>
    <row r="26" spans="1:12" ht="17.399999999999999" x14ac:dyDescent="0.3">
      <c r="A26" s="4" t="s">
        <v>57</v>
      </c>
      <c r="B26" s="5"/>
      <c r="C26" s="5"/>
      <c r="D26" s="5"/>
      <c r="E26" s="5"/>
      <c r="F26" s="6"/>
      <c r="H26" s="271"/>
    </row>
    <row r="27" spans="1:12" x14ac:dyDescent="0.25">
      <c r="A27" s="7" t="s">
        <v>4</v>
      </c>
      <c r="B27" s="20"/>
      <c r="C27" s="1" t="s">
        <v>39</v>
      </c>
      <c r="D27" s="1"/>
      <c r="E27" s="1"/>
      <c r="F27" s="8"/>
      <c r="H27" s="271"/>
    </row>
    <row r="28" spans="1:12" x14ac:dyDescent="0.25">
      <c r="A28" s="7" t="s">
        <v>1</v>
      </c>
      <c r="B28" s="20"/>
      <c r="C28" s="1" t="s">
        <v>40</v>
      </c>
      <c r="D28" s="1"/>
      <c r="E28" s="1"/>
      <c r="F28" s="8"/>
      <c r="H28" s="271"/>
    </row>
    <row r="29" spans="1:12" x14ac:dyDescent="0.25">
      <c r="A29" s="96" t="s">
        <v>3</v>
      </c>
      <c r="B29" s="97" t="str">
        <f>IFERROR(IF(B27&lt;&gt;"",ROUNDUP((B28*$B$5-$B$6)/SUM(B27-B28),0),""),0)</f>
        <v/>
      </c>
      <c r="C29" s="2" t="s">
        <v>2</v>
      </c>
      <c r="D29" s="98">
        <f>B27</f>
        <v>0</v>
      </c>
      <c r="E29" s="2" t="s">
        <v>5</v>
      </c>
      <c r="F29" s="8"/>
      <c r="H29" s="271"/>
    </row>
    <row r="30" spans="1:12" ht="13.8" thickBot="1" x14ac:dyDescent="0.3">
      <c r="A30" s="10" t="s">
        <v>64</v>
      </c>
      <c r="B30" s="95" t="str">
        <f>IFERROR(SUM(B29/12),"")</f>
        <v/>
      </c>
      <c r="C30" s="11" t="s">
        <v>65</v>
      </c>
      <c r="D30" s="11"/>
      <c r="E30" s="11"/>
      <c r="F30" s="99" t="str">
        <f>IFERROR(SUM(B30*4535),"")</f>
        <v/>
      </c>
      <c r="H30" s="271"/>
    </row>
    <row r="31" spans="1:12" ht="26.25" customHeight="1" x14ac:dyDescent="0.25">
      <c r="A31" s="272" t="s">
        <v>202</v>
      </c>
      <c r="B31" s="272"/>
      <c r="C31" s="272"/>
      <c r="D31" s="272"/>
      <c r="E31" s="272"/>
      <c r="F31" s="272"/>
      <c r="G31" s="272"/>
      <c r="H31" s="272"/>
      <c r="J31" s="24"/>
      <c r="K31" s="24"/>
      <c r="L31" s="36"/>
    </row>
    <row r="32" spans="1:12" x14ac:dyDescent="0.25">
      <c r="A32" s="100"/>
      <c r="B32" s="100"/>
      <c r="C32" s="100"/>
      <c r="D32" s="100"/>
      <c r="E32" s="100"/>
      <c r="F32" s="100"/>
      <c r="G32" s="100"/>
      <c r="H32" s="100"/>
      <c r="J32" s="24"/>
      <c r="K32" s="24"/>
      <c r="L32" s="36"/>
    </row>
    <row r="33" spans="1:8" x14ac:dyDescent="0.25">
      <c r="A33" s="267" t="s">
        <v>10</v>
      </c>
      <c r="B33" s="267"/>
      <c r="C33" s="267"/>
      <c r="D33" s="267"/>
      <c r="E33" s="267"/>
      <c r="F33" s="267"/>
      <c r="G33" s="267"/>
      <c r="H33" s="267"/>
    </row>
    <row r="34" spans="1:8" x14ac:dyDescent="0.25">
      <c r="A34" s="268"/>
      <c r="B34" s="269"/>
      <c r="C34" s="269"/>
      <c r="D34" s="269"/>
      <c r="E34" s="269"/>
      <c r="F34" s="269"/>
      <c r="G34" s="269"/>
      <c r="H34" s="270"/>
    </row>
    <row r="35" spans="1:8" x14ac:dyDescent="0.25">
      <c r="A35" s="268"/>
      <c r="B35" s="269"/>
      <c r="C35" s="269"/>
      <c r="D35" s="269"/>
      <c r="E35" s="269"/>
      <c r="F35" s="269"/>
      <c r="G35" s="269"/>
      <c r="H35" s="270"/>
    </row>
    <row r="36" spans="1:8" x14ac:dyDescent="0.25">
      <c r="A36" s="268"/>
      <c r="B36" s="269"/>
      <c r="C36" s="269"/>
      <c r="D36" s="269"/>
      <c r="E36" s="269"/>
      <c r="F36" s="269"/>
      <c r="G36" s="269"/>
      <c r="H36" s="270"/>
    </row>
    <row r="37" spans="1:8" x14ac:dyDescent="0.25">
      <c r="A37" s="268"/>
      <c r="B37" s="269"/>
      <c r="C37" s="269"/>
      <c r="D37" s="269"/>
      <c r="E37" s="269"/>
      <c r="F37" s="269"/>
      <c r="G37" s="269"/>
      <c r="H37" s="270"/>
    </row>
    <row r="38" spans="1:8" x14ac:dyDescent="0.25">
      <c r="A38" s="268"/>
      <c r="B38" s="269"/>
      <c r="C38" s="269"/>
      <c r="D38" s="269"/>
      <c r="E38" s="269"/>
      <c r="F38" s="269"/>
      <c r="G38" s="269"/>
      <c r="H38" s="270"/>
    </row>
    <row r="39" spans="1:8" x14ac:dyDescent="0.25">
      <c r="A39" s="268"/>
      <c r="B39" s="269"/>
      <c r="C39" s="269"/>
      <c r="D39" s="269"/>
      <c r="E39" s="269"/>
      <c r="F39" s="269"/>
      <c r="G39" s="269"/>
      <c r="H39" s="270"/>
    </row>
    <row r="40" spans="1:8" x14ac:dyDescent="0.25">
      <c r="A40" s="268"/>
      <c r="B40" s="269"/>
      <c r="C40" s="269"/>
      <c r="D40" s="269"/>
      <c r="E40" s="269"/>
      <c r="F40" s="269"/>
      <c r="G40" s="269"/>
      <c r="H40" s="270"/>
    </row>
    <row r="41" spans="1:8" x14ac:dyDescent="0.25">
      <c r="A41" s="268"/>
      <c r="B41" s="269"/>
      <c r="C41" s="269"/>
      <c r="D41" s="269"/>
      <c r="E41" s="269"/>
      <c r="F41" s="269"/>
      <c r="G41" s="269"/>
      <c r="H41" s="270"/>
    </row>
    <row r="42" spans="1:8" x14ac:dyDescent="0.25">
      <c r="A42" s="268"/>
      <c r="B42" s="269"/>
      <c r="C42" s="269"/>
      <c r="D42" s="269"/>
      <c r="E42" s="269"/>
      <c r="F42" s="269"/>
      <c r="G42" s="269"/>
      <c r="H42" s="270"/>
    </row>
    <row r="43" spans="1:8" x14ac:dyDescent="0.25">
      <c r="A43" s="268"/>
      <c r="B43" s="269"/>
      <c r="C43" s="269"/>
      <c r="D43" s="269"/>
      <c r="E43" s="269"/>
      <c r="F43" s="269"/>
      <c r="G43" s="269"/>
      <c r="H43" s="270"/>
    </row>
    <row r="44" spans="1:8" x14ac:dyDescent="0.25">
      <c r="A44" s="268"/>
      <c r="B44" s="269"/>
      <c r="C44" s="269"/>
      <c r="D44" s="269"/>
      <c r="E44" s="269"/>
      <c r="F44" s="269"/>
      <c r="G44" s="269"/>
      <c r="H44" s="270"/>
    </row>
    <row r="45" spans="1:8" x14ac:dyDescent="0.25">
      <c r="A45" s="268"/>
      <c r="B45" s="269"/>
      <c r="C45" s="269"/>
      <c r="D45" s="269"/>
      <c r="E45" s="269"/>
      <c r="F45" s="269"/>
      <c r="G45" s="269"/>
      <c r="H45" s="270"/>
    </row>
    <row r="46" spans="1:8" x14ac:dyDescent="0.25">
      <c r="A46" s="268"/>
      <c r="B46" s="269"/>
      <c r="C46" s="269"/>
      <c r="D46" s="269"/>
      <c r="E46" s="269"/>
      <c r="F46" s="269"/>
      <c r="G46" s="269"/>
      <c r="H46" s="270"/>
    </row>
    <row r="47" spans="1:8" x14ac:dyDescent="0.25">
      <c r="A47" s="268"/>
      <c r="B47" s="269"/>
      <c r="C47" s="269"/>
      <c r="D47" s="269"/>
      <c r="E47" s="269"/>
      <c r="F47" s="269"/>
      <c r="G47" s="269"/>
      <c r="H47" s="270"/>
    </row>
    <row r="48" spans="1:8" x14ac:dyDescent="0.25">
      <c r="A48" s="268"/>
      <c r="B48" s="269"/>
      <c r="C48" s="269"/>
      <c r="D48" s="269"/>
      <c r="E48" s="269"/>
      <c r="F48" s="269"/>
      <c r="G48" s="269"/>
      <c r="H48" s="270"/>
    </row>
    <row r="49" spans="1:11" x14ac:dyDescent="0.25">
      <c r="A49" s="268"/>
      <c r="B49" s="269"/>
      <c r="C49" s="269"/>
      <c r="D49" s="269"/>
      <c r="E49" s="269"/>
      <c r="F49" s="269"/>
      <c r="G49" s="269"/>
      <c r="H49" s="270"/>
    </row>
    <row r="51" spans="1:11" ht="13.8" x14ac:dyDescent="0.25">
      <c r="J51" s="25"/>
      <c r="K51" s="25"/>
    </row>
  </sheetData>
  <sheetProtection sheet="1" objects="1" scenarios="1"/>
  <mergeCells count="10">
    <mergeCell ref="L4:L8"/>
    <mergeCell ref="B1:D1"/>
    <mergeCell ref="B2:D2"/>
    <mergeCell ref="A33:H33"/>
    <mergeCell ref="A34:H49"/>
    <mergeCell ref="H8:H12"/>
    <mergeCell ref="H14:H18"/>
    <mergeCell ref="H20:H24"/>
    <mergeCell ref="H26:H30"/>
    <mergeCell ref="A31:H31"/>
  </mergeCells>
  <conditionalFormatting sqref="D11">
    <cfRule type="cellIs" dxfId="56" priority="2" operator="greaterThan">
      <formula>4</formula>
    </cfRule>
  </conditionalFormatting>
  <conditionalFormatting sqref="D5:D6">
    <cfRule type="cellIs" dxfId="55" priority="1" operator="greaterThan">
      <formula>4</formula>
    </cfRule>
  </conditionalFormatting>
  <printOptions horizontalCentered="1"/>
  <pageMargins left="0.25" right="0.25" top="0.75" bottom="0.75" header="0.3" footer="0.3"/>
  <pageSetup orientation="portrait" r:id="rId1"/>
  <headerFooter>
    <oddHeader>&amp;C&amp;"Arial,Bold"&amp;14GPA or Hours Needed to Reach Goal</oddHeader>
    <oddFooter>&amp;CPLEASE NOTE: All of the above calculations are **tentative**.  This is an unofficial calculator, used only as a general guidance tool.  The Registrar's Office will calculate your actual GPA, which might differ from the estimates provided here.</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50"/>
  </sheetPr>
  <dimension ref="A1:P55"/>
  <sheetViews>
    <sheetView workbookViewId="0">
      <selection activeCell="A5" sqref="A5:A6"/>
    </sheetView>
  </sheetViews>
  <sheetFormatPr defaultColWidth="9.109375" defaultRowHeight="13.2" x14ac:dyDescent="0.25"/>
  <cols>
    <col min="1" max="1" width="22.109375" style="34" customWidth="1"/>
    <col min="2" max="2" width="8.33203125" style="34" customWidth="1"/>
    <col min="3" max="3" width="6.109375" style="34" bestFit="1" customWidth="1"/>
    <col min="4" max="4" width="9.6640625" style="34" customWidth="1"/>
    <col min="5" max="5" width="24.6640625" style="34" bestFit="1" customWidth="1"/>
    <col min="6" max="6" width="3.33203125" style="34" customWidth="1"/>
    <col min="7" max="7" width="29.6640625" style="34" customWidth="1"/>
    <col min="8" max="8" width="9.109375" style="34"/>
    <col min="9" max="9" width="9.109375" style="34" customWidth="1"/>
    <col min="10" max="14" width="9.109375" style="34"/>
    <col min="15" max="15" width="33.5546875" style="34" customWidth="1"/>
    <col min="16" max="16384" width="9.109375" style="34"/>
  </cols>
  <sheetData>
    <row r="1" spans="1:16" s="12" customFormat="1" ht="12.75" customHeight="1" x14ac:dyDescent="0.25">
      <c r="A1" s="15" t="s">
        <v>6</v>
      </c>
      <c r="B1" s="266" t="str">
        <f>IF('Start Here!'!B2:D2&lt;&gt;"",'Start Here!'!B2:D2,"")</f>
        <v/>
      </c>
      <c r="C1" s="266"/>
      <c r="D1" s="266"/>
      <c r="E1" s="91" t="s">
        <v>8</v>
      </c>
      <c r="F1" s="82"/>
      <c r="G1" s="81" t="str">
        <f>IF('Start Here!'!G2&lt;&gt;"",'Start Here!'!G2,"")</f>
        <v/>
      </c>
      <c r="K1" s="22"/>
      <c r="L1" s="22"/>
      <c r="M1" s="22"/>
      <c r="O1" s="34"/>
    </row>
    <row r="2" spans="1:16" s="12" customFormat="1" x14ac:dyDescent="0.25">
      <c r="A2" s="2" t="s">
        <v>7</v>
      </c>
      <c r="B2" s="266" t="str">
        <f>IF('Start Here!'!B3:D3&lt;&gt;"",'Start Here!'!B3:D3,"")</f>
        <v/>
      </c>
      <c r="C2" s="266"/>
      <c r="D2" s="266"/>
      <c r="E2" s="92" t="s">
        <v>9</v>
      </c>
      <c r="F2" s="83"/>
      <c r="G2" s="81" t="str">
        <f>IF('Start Here!'!G3&lt;&gt;"",'Start Here!'!G3,"")</f>
        <v/>
      </c>
      <c r="K2" s="22"/>
      <c r="L2" s="22"/>
      <c r="M2" s="22"/>
      <c r="O2" s="35"/>
    </row>
    <row r="3" spans="1:16" s="12" customFormat="1" ht="8.25" customHeight="1" thickBot="1" x14ac:dyDescent="0.3">
      <c r="G3" s="36"/>
      <c r="K3" s="23"/>
      <c r="L3" s="23"/>
      <c r="M3" s="23"/>
      <c r="O3" s="80" t="s">
        <v>41</v>
      </c>
    </row>
    <row r="4" spans="1:16" s="12" customFormat="1" ht="17.399999999999999" x14ac:dyDescent="0.3">
      <c r="A4" s="139" t="s">
        <v>35</v>
      </c>
      <c r="B4" s="5"/>
      <c r="C4" s="137"/>
      <c r="D4" s="5"/>
      <c r="E4" s="138"/>
      <c r="I4" s="23"/>
      <c r="J4" s="23"/>
      <c r="K4" s="23"/>
      <c r="O4" s="273"/>
      <c r="P4" s="274"/>
    </row>
    <row r="5" spans="1:16" s="12" customFormat="1" x14ac:dyDescent="0.25">
      <c r="A5" s="259" t="str">
        <f>CONCATENATE("Current "&amp;'Start Here!'!$G$9&amp;" Qhrs")</f>
        <v>Current Overall Qhrs</v>
      </c>
      <c r="B5" s="134" t="str">
        <f>IF('Start Here!'!B6&lt;&gt;"",'Start Here!'!B6,"")</f>
        <v/>
      </c>
      <c r="D5" s="135">
        <f>'Start Here!'!C6</f>
        <v>0</v>
      </c>
      <c r="E5" s="140" t="s">
        <v>35</v>
      </c>
      <c r="I5" s="23"/>
      <c r="J5" s="23"/>
      <c r="K5" s="34"/>
      <c r="O5" s="275"/>
      <c r="P5" s="276"/>
    </row>
    <row r="6" spans="1:16" s="12" customFormat="1" ht="13.5" customHeight="1" thickBot="1" x14ac:dyDescent="0.3">
      <c r="A6" s="260" t="str">
        <f>CONCATENATE("Current "&amp;'Start Here!'!$G$9&amp;" Qpts")</f>
        <v>Current Overall Qpts</v>
      </c>
      <c r="B6" s="136" t="str">
        <f>IF('Start Here!'!B7&lt;&gt;"",'Start Here!'!B7,"")</f>
        <v/>
      </c>
      <c r="C6" s="14"/>
      <c r="D6" s="132"/>
      <c r="E6" s="133"/>
      <c r="G6" s="298" t="s">
        <v>11</v>
      </c>
      <c r="I6" s="23"/>
      <c r="J6" s="23"/>
      <c r="K6" s="34"/>
      <c r="O6" s="275"/>
      <c r="P6" s="276"/>
    </row>
    <row r="7" spans="1:16" ht="8.25" customHeight="1" thickBot="1" x14ac:dyDescent="0.3">
      <c r="A7" s="42"/>
      <c r="B7" s="43"/>
      <c r="C7" s="43"/>
      <c r="D7" s="43"/>
      <c r="E7" s="43"/>
      <c r="F7" s="36"/>
      <c r="G7" s="299"/>
      <c r="O7" s="275"/>
      <c r="P7" s="276"/>
    </row>
    <row r="8" spans="1:16" ht="17.399999999999999" x14ac:dyDescent="0.3">
      <c r="A8" s="37" t="s">
        <v>73</v>
      </c>
      <c r="B8" s="38"/>
      <c r="C8" s="38"/>
      <c r="D8" s="38"/>
      <c r="E8" s="39"/>
      <c r="F8" s="36"/>
      <c r="G8" s="271"/>
      <c r="O8" s="277"/>
      <c r="P8" s="278"/>
    </row>
    <row r="9" spans="1:16" x14ac:dyDescent="0.25">
      <c r="A9" s="40" t="s">
        <v>17</v>
      </c>
      <c r="B9" s="45" t="s">
        <v>18</v>
      </c>
      <c r="C9" s="46" t="s">
        <v>19</v>
      </c>
      <c r="D9" s="46" t="s">
        <v>12</v>
      </c>
      <c r="E9" s="47" t="s">
        <v>48</v>
      </c>
      <c r="F9" s="36"/>
      <c r="G9" s="271"/>
    </row>
    <row r="10" spans="1:16" x14ac:dyDescent="0.25">
      <c r="A10" s="58"/>
      <c r="B10" s="31"/>
      <c r="C10" s="31"/>
      <c r="D10" s="48" t="str">
        <f>IFERROR(C10*INDEX('Data Points'!$B$2:$B$16,MATCH(B10,'Data Points'!$A$2:$A$16,0)),"")</f>
        <v/>
      </c>
      <c r="E10" s="85"/>
      <c r="F10" s="36"/>
      <c r="G10" s="271"/>
      <c r="O10" s="107" t="s">
        <v>63</v>
      </c>
      <c r="P10" s="35">
        <f>IFERROR(SUM(B5+SUM(C10:C19)-SUM(C26:C31)),0)</f>
        <v>0</v>
      </c>
    </row>
    <row r="11" spans="1:16" x14ac:dyDescent="0.25">
      <c r="A11" s="58"/>
      <c r="B11" s="31"/>
      <c r="C11" s="31"/>
      <c r="D11" s="48" t="str">
        <f>IFERROR(C11*INDEX('Data Points'!$B$2:$B$16,MATCH(B11,'Data Points'!$A$2:$A$16,0)),"")</f>
        <v/>
      </c>
      <c r="E11" s="85"/>
      <c r="F11" s="36"/>
      <c r="G11" s="271"/>
      <c r="O11" s="107" t="s">
        <v>62</v>
      </c>
      <c r="P11" s="108">
        <f>IFERROR(SUM(B6+SUM(D10:D19)-SUM(D26:D31)),0)</f>
        <v>0</v>
      </c>
    </row>
    <row r="12" spans="1:16" x14ac:dyDescent="0.25">
      <c r="A12" s="58"/>
      <c r="B12" s="31"/>
      <c r="C12" s="31"/>
      <c r="D12" s="48" t="str">
        <f>IFERROR(C12*INDEX('Data Points'!$B$2:$B$16,MATCH(B12,'Data Points'!$A$2:$A$16,0)),"")</f>
        <v/>
      </c>
      <c r="E12" s="85"/>
      <c r="F12" s="36"/>
      <c r="G12" s="271"/>
    </row>
    <row r="13" spans="1:16" x14ac:dyDescent="0.25">
      <c r="A13" s="58"/>
      <c r="B13" s="31"/>
      <c r="C13" s="31"/>
      <c r="D13" s="48" t="str">
        <f>IFERROR(C13*INDEX('Data Points'!$B$2:$B$16,MATCH(B13,'Data Points'!$A$2:$A$16,0)),"")</f>
        <v/>
      </c>
      <c r="E13" s="85"/>
      <c r="F13" s="36"/>
      <c r="G13" s="271"/>
    </row>
    <row r="14" spans="1:16" x14ac:dyDescent="0.25">
      <c r="A14" s="58"/>
      <c r="B14" s="31"/>
      <c r="C14" s="31"/>
      <c r="D14" s="48" t="str">
        <f>IFERROR(C14*INDEX('Data Points'!$B$2:$B$16,MATCH(B14,'Data Points'!$A$2:$A$16,0)),"")</f>
        <v/>
      </c>
      <c r="E14" s="85"/>
      <c r="F14" s="36"/>
      <c r="G14" s="271"/>
    </row>
    <row r="15" spans="1:16" x14ac:dyDescent="0.25">
      <c r="A15" s="58"/>
      <c r="B15" s="31"/>
      <c r="C15" s="31"/>
      <c r="D15" s="48" t="str">
        <f>IFERROR(C15*INDEX('Data Points'!$B$2:$B$16,MATCH(B15,'Data Points'!$A$2:$A$16,0)),"")</f>
        <v/>
      </c>
      <c r="E15" s="85"/>
      <c r="F15" s="36"/>
      <c r="G15" s="271"/>
    </row>
    <row r="16" spans="1:16" x14ac:dyDescent="0.25">
      <c r="A16" s="58"/>
      <c r="B16" s="31"/>
      <c r="C16" s="31"/>
      <c r="D16" s="48" t="str">
        <f>IFERROR(C16*INDEX('Data Points'!$B$2:$B$16,MATCH(B16,'Data Points'!$A$2:$A$16,0)),"")</f>
        <v/>
      </c>
      <c r="E16" s="85"/>
      <c r="F16" s="36"/>
      <c r="G16" s="271"/>
    </row>
    <row r="17" spans="1:15" x14ac:dyDescent="0.25">
      <c r="A17" s="58"/>
      <c r="B17" s="31"/>
      <c r="C17" s="31"/>
      <c r="D17" s="48" t="str">
        <f>IFERROR(C17*INDEX('Data Points'!$B$2:$B$16,MATCH(B17,'Data Points'!$A$2:$A$16,0)),"")</f>
        <v/>
      </c>
      <c r="E17" s="85"/>
      <c r="F17" s="36"/>
      <c r="G17" s="271"/>
    </row>
    <row r="18" spans="1:15" x14ac:dyDescent="0.25">
      <c r="A18" s="58"/>
      <c r="B18" s="31"/>
      <c r="C18" s="31"/>
      <c r="D18" s="48" t="str">
        <f>IFERROR(C18*INDEX('Data Points'!$B$2:$B$16,MATCH(B18,'Data Points'!$A$2:$A$16,0)),"")</f>
        <v/>
      </c>
      <c r="E18" s="85"/>
      <c r="F18" s="36"/>
      <c r="G18" s="271"/>
    </row>
    <row r="19" spans="1:15" x14ac:dyDescent="0.25">
      <c r="A19" s="58"/>
      <c r="B19" s="31"/>
      <c r="C19" s="31"/>
      <c r="D19" s="48" t="str">
        <f>IFERROR(C19*INDEX('Data Points'!$B$2:$B$16,MATCH(B19,'Data Points'!$A$2:$A$16,0)),"")</f>
        <v/>
      </c>
      <c r="E19" s="85"/>
      <c r="F19" s="36"/>
      <c r="G19" s="271"/>
    </row>
    <row r="20" spans="1:15" ht="8.25" customHeight="1" x14ac:dyDescent="0.25">
      <c r="A20" s="294"/>
      <c r="B20" s="295"/>
      <c r="C20" s="295"/>
      <c r="D20" s="53"/>
      <c r="E20" s="54"/>
      <c r="F20" s="36"/>
      <c r="G20" s="271"/>
    </row>
    <row r="21" spans="1:15" x14ac:dyDescent="0.25">
      <c r="A21" s="296" t="s">
        <v>21</v>
      </c>
      <c r="B21" s="297"/>
      <c r="C21" s="297"/>
      <c r="D21" s="41">
        <f>IFERROR(SUM($D$10:$D$19)/SUM($C$10:$C$19),0)</f>
        <v>0</v>
      </c>
      <c r="E21" s="49" t="s">
        <v>20</v>
      </c>
      <c r="F21" s="36"/>
      <c r="G21" s="271"/>
    </row>
    <row r="22" spans="1:15" ht="13.8" thickBot="1" x14ac:dyDescent="0.3">
      <c r="A22" s="292" t="s">
        <v>33</v>
      </c>
      <c r="B22" s="293"/>
      <c r="C22" s="293"/>
      <c r="D22" s="50">
        <f>IFERROR(SUM(B6+SUM($D$10:$D$19))/SUM(B5+SUM($C$10:$C$19)),0)</f>
        <v>0</v>
      </c>
      <c r="E22" s="51" t="s">
        <v>34</v>
      </c>
      <c r="F22" s="36"/>
      <c r="G22" s="271"/>
    </row>
    <row r="23" spans="1:15" s="12" customFormat="1" ht="8.25" customHeight="1" thickBot="1" x14ac:dyDescent="0.3">
      <c r="G23" s="36"/>
      <c r="K23" s="23"/>
      <c r="L23" s="23"/>
      <c r="M23" s="23"/>
      <c r="O23" s="80"/>
    </row>
    <row r="24" spans="1:15" ht="17.399999999999999" x14ac:dyDescent="0.3">
      <c r="A24" s="37" t="s">
        <v>74</v>
      </c>
      <c r="B24" s="38"/>
      <c r="C24" s="38"/>
      <c r="D24" s="38"/>
      <c r="E24" s="39"/>
      <c r="F24" s="36"/>
      <c r="G24" s="271"/>
    </row>
    <row r="25" spans="1:15" x14ac:dyDescent="0.25">
      <c r="A25" s="40" t="s">
        <v>17</v>
      </c>
      <c r="B25" s="45" t="s">
        <v>18</v>
      </c>
      <c r="C25" s="46" t="s">
        <v>19</v>
      </c>
      <c r="D25" s="46" t="s">
        <v>12</v>
      </c>
      <c r="E25" s="47" t="s">
        <v>48</v>
      </c>
      <c r="F25" s="36"/>
      <c r="G25" s="271"/>
    </row>
    <row r="26" spans="1:15" x14ac:dyDescent="0.25">
      <c r="A26" s="58"/>
      <c r="B26" s="31"/>
      <c r="C26" s="31"/>
      <c r="D26" s="48" t="str">
        <f>IFERROR(C26*INDEX('Data Points'!$B$2:$B$16,MATCH(B26,'Data Points'!$A$2:$A$16,0)),"")</f>
        <v/>
      </c>
      <c r="E26" s="85"/>
      <c r="F26" s="36"/>
      <c r="G26" s="271"/>
    </row>
    <row r="27" spans="1:15" x14ac:dyDescent="0.25">
      <c r="A27" s="58"/>
      <c r="B27" s="31"/>
      <c r="C27" s="31"/>
      <c r="D27" s="48" t="str">
        <f>IFERROR(C27*INDEX('Data Points'!$B$2:$B$16,MATCH(B27,'Data Points'!$A$2:$A$16,0)),"")</f>
        <v/>
      </c>
      <c r="E27" s="85"/>
      <c r="F27" s="36"/>
      <c r="G27" s="271"/>
    </row>
    <row r="28" spans="1:15" x14ac:dyDescent="0.25">
      <c r="A28" s="58"/>
      <c r="B28" s="31"/>
      <c r="C28" s="31"/>
      <c r="D28" s="48" t="str">
        <f>IFERROR(C28*INDEX('Data Points'!$B$2:$B$16,MATCH(B28,'Data Points'!$A$2:$A$16,0)),"")</f>
        <v/>
      </c>
      <c r="E28" s="85"/>
      <c r="F28" s="36"/>
      <c r="G28" s="271"/>
    </row>
    <row r="29" spans="1:15" x14ac:dyDescent="0.25">
      <c r="A29" s="58"/>
      <c r="B29" s="31"/>
      <c r="C29" s="31"/>
      <c r="D29" s="48" t="str">
        <f>IFERROR(C29*INDEX('Data Points'!$B$2:$B$16,MATCH(B29,'Data Points'!$A$2:$A$16,0)),"")</f>
        <v/>
      </c>
      <c r="E29" s="85"/>
      <c r="F29" s="36"/>
      <c r="G29" s="271"/>
    </row>
    <row r="30" spans="1:15" x14ac:dyDescent="0.25">
      <c r="A30" s="58"/>
      <c r="B30" s="31"/>
      <c r="C30" s="31"/>
      <c r="D30" s="48" t="str">
        <f>IFERROR(C30*INDEX('Data Points'!$B$2:$B$16,MATCH(B30,'Data Points'!$A$2:$A$16,0)),"")</f>
        <v/>
      </c>
      <c r="E30" s="85"/>
      <c r="F30" s="36"/>
      <c r="G30" s="271"/>
    </row>
    <row r="31" spans="1:15" x14ac:dyDescent="0.25">
      <c r="A31" s="57"/>
      <c r="B31" s="31"/>
      <c r="C31" s="31"/>
      <c r="D31" s="48" t="str">
        <f>IFERROR(C31*INDEX('Data Points'!$B$2:$B$16,MATCH(B31,'Data Points'!$A$2:$A$16,0)),"")</f>
        <v/>
      </c>
      <c r="E31" s="85"/>
      <c r="F31" s="36"/>
      <c r="G31" s="271"/>
    </row>
    <row r="32" spans="1:15" ht="8.25" customHeight="1" x14ac:dyDescent="0.25">
      <c r="A32" s="294"/>
      <c r="B32" s="295"/>
      <c r="C32" s="295"/>
      <c r="D32" s="53"/>
      <c r="E32" s="54"/>
      <c r="F32" s="36"/>
      <c r="G32" s="271"/>
    </row>
    <row r="33" spans="1:15" ht="13.8" thickBot="1" x14ac:dyDescent="0.3">
      <c r="A33" s="292" t="s">
        <v>33</v>
      </c>
      <c r="B33" s="293"/>
      <c r="C33" s="293"/>
      <c r="D33" s="50">
        <f>IFERROR(P11/P10,0)</f>
        <v>0</v>
      </c>
      <c r="E33" s="55" t="s">
        <v>36</v>
      </c>
      <c r="F33" s="36"/>
      <c r="G33" s="271"/>
    </row>
    <row r="34" spans="1:15" s="12" customFormat="1" ht="8.25" customHeight="1" thickBot="1" x14ac:dyDescent="0.3">
      <c r="G34" s="36"/>
      <c r="K34" s="23"/>
      <c r="L34" s="23"/>
      <c r="M34" s="23"/>
      <c r="O34" s="80"/>
    </row>
    <row r="35" spans="1:15" s="12" customFormat="1" ht="17.399999999999999" x14ac:dyDescent="0.3">
      <c r="A35" s="4" t="s">
        <v>75</v>
      </c>
      <c r="B35" s="5"/>
      <c r="C35" s="5"/>
      <c r="D35" s="5"/>
      <c r="E35" s="6"/>
      <c r="G35" s="280"/>
      <c r="I35" s="23"/>
      <c r="J35" s="23"/>
      <c r="K35" s="34"/>
    </row>
    <row r="36" spans="1:15" s="12" customFormat="1" x14ac:dyDescent="0.25">
      <c r="A36" s="7" t="s">
        <v>4</v>
      </c>
      <c r="B36" s="20"/>
      <c r="C36" s="1" t="s">
        <v>39</v>
      </c>
      <c r="D36" s="1"/>
      <c r="E36" s="8"/>
      <c r="G36" s="281"/>
      <c r="I36" s="23"/>
      <c r="J36" s="23"/>
      <c r="K36" s="34"/>
    </row>
    <row r="37" spans="1:15" s="12" customFormat="1" x14ac:dyDescent="0.25">
      <c r="A37" s="7" t="s">
        <v>1</v>
      </c>
      <c r="B37" s="20"/>
      <c r="C37" s="1" t="s">
        <v>40</v>
      </c>
      <c r="D37" s="1"/>
      <c r="E37" s="8"/>
      <c r="G37" s="281"/>
      <c r="I37" s="23"/>
      <c r="J37" s="23"/>
      <c r="K37" s="34"/>
    </row>
    <row r="38" spans="1:15" s="12" customFormat="1" ht="8.25" customHeight="1" x14ac:dyDescent="0.25">
      <c r="A38" s="9"/>
      <c r="B38" s="1"/>
      <c r="C38" s="1"/>
      <c r="D38" s="1"/>
      <c r="E38" s="8"/>
      <c r="G38" s="281"/>
      <c r="I38" s="23"/>
      <c r="J38" s="23"/>
      <c r="K38" s="34"/>
    </row>
    <row r="39" spans="1:15" s="12" customFormat="1" x14ac:dyDescent="0.25">
      <c r="A39" s="84" t="s">
        <v>71</v>
      </c>
      <c r="B39" s="29"/>
      <c r="C39" s="29"/>
      <c r="D39" s="29"/>
      <c r="E39" s="94"/>
      <c r="G39" s="281"/>
      <c r="I39" s="23"/>
      <c r="J39" s="23"/>
      <c r="K39" s="34"/>
    </row>
    <row r="40" spans="1:15" s="12" customFormat="1" ht="13.8" thickBot="1" x14ac:dyDescent="0.3">
      <c r="A40" s="27" t="s">
        <v>61</v>
      </c>
      <c r="B40" s="241">
        <f>IFERROR(IF((B37*P10-P11)/SUM(B36-B37)&lt;=0,"XXX",ROUNDUP((B37*P10-P11)/SUM(B36-B37),0)),0)</f>
        <v>0</v>
      </c>
      <c r="C40" s="11" t="s">
        <v>60</v>
      </c>
      <c r="D40" s="28">
        <f>B36</f>
        <v>0</v>
      </c>
      <c r="E40" s="93" t="s">
        <v>5</v>
      </c>
      <c r="G40" s="282"/>
      <c r="I40" s="23"/>
      <c r="J40" s="23"/>
      <c r="K40" s="34"/>
    </row>
    <row r="41" spans="1:15" s="12" customFormat="1" ht="8.25" customHeight="1" thickBot="1" x14ac:dyDescent="0.3">
      <c r="B41" s="12" t="str">
        <f>IF(B40="XXX","Error: Can't reach required GPA with this projected GPA! Aim higher!!","")</f>
        <v/>
      </c>
      <c r="G41" s="36"/>
      <c r="K41" s="23"/>
      <c r="L41" s="23"/>
      <c r="M41" s="23"/>
      <c r="O41" s="80"/>
    </row>
    <row r="42" spans="1:15" s="12" customFormat="1" ht="17.399999999999999" x14ac:dyDescent="0.3">
      <c r="A42" s="4" t="s">
        <v>76</v>
      </c>
      <c r="B42" s="5"/>
      <c r="C42" s="5"/>
      <c r="D42" s="5"/>
      <c r="E42" s="6"/>
      <c r="G42" s="280"/>
      <c r="I42" s="23"/>
      <c r="J42" s="23"/>
      <c r="K42" s="34"/>
    </row>
    <row r="43" spans="1:15" s="12" customFormat="1" x14ac:dyDescent="0.25">
      <c r="A43" s="101" t="s">
        <v>66</v>
      </c>
      <c r="B43" s="256">
        <f>SUM(C10:C18)</f>
        <v>0</v>
      </c>
      <c r="C43" s="1" t="s">
        <v>67</v>
      </c>
      <c r="D43" s="1"/>
      <c r="E43" s="8"/>
      <c r="G43" s="281"/>
      <c r="I43" s="23"/>
      <c r="J43" s="23"/>
      <c r="K43" s="34"/>
    </row>
    <row r="44" spans="1:15" s="12" customFormat="1" x14ac:dyDescent="0.25">
      <c r="A44" s="101" t="s">
        <v>68</v>
      </c>
      <c r="B44" s="256">
        <f>IFERROR((B37*P10-P11)/SUM(B36-B37),0)</f>
        <v>0</v>
      </c>
      <c r="C44" s="102" t="s">
        <v>60</v>
      </c>
      <c r="D44" s="103">
        <f>B36</f>
        <v>0</v>
      </c>
      <c r="E44" s="104" t="s">
        <v>5</v>
      </c>
      <c r="G44" s="281"/>
      <c r="I44" s="23"/>
      <c r="J44" s="23"/>
      <c r="K44" s="34"/>
    </row>
    <row r="45" spans="1:15" s="12" customFormat="1" x14ac:dyDescent="0.25">
      <c r="A45" s="7" t="s">
        <v>64</v>
      </c>
      <c r="B45" s="113">
        <f>SUM(B44+B43)/12</f>
        <v>0</v>
      </c>
      <c r="C45" s="15" t="s">
        <v>69</v>
      </c>
      <c r="D45" s="15"/>
      <c r="E45" s="114"/>
      <c r="G45" s="281"/>
      <c r="I45" s="23"/>
      <c r="J45" s="23"/>
      <c r="K45" s="34"/>
    </row>
    <row r="46" spans="1:15" s="12" customFormat="1" ht="13.8" thickBot="1" x14ac:dyDescent="0.3">
      <c r="A46" s="10" t="s">
        <v>70</v>
      </c>
      <c r="B46" s="111">
        <f>B45*4535</f>
        <v>0</v>
      </c>
      <c r="C46" s="115" t="s">
        <v>20</v>
      </c>
      <c r="D46" s="109"/>
      <c r="E46" s="110"/>
      <c r="G46" s="282"/>
      <c r="I46" s="23"/>
      <c r="J46" s="23"/>
      <c r="K46" s="34"/>
    </row>
    <row r="47" spans="1:15" s="12" customFormat="1" ht="26.25" customHeight="1" x14ac:dyDescent="0.25">
      <c r="A47" s="279" t="s">
        <v>202</v>
      </c>
      <c r="B47" s="279"/>
      <c r="C47" s="279"/>
      <c r="D47" s="279"/>
      <c r="E47" s="279"/>
      <c r="F47" s="279"/>
      <c r="G47" s="279"/>
      <c r="H47" s="112"/>
      <c r="J47" s="24"/>
      <c r="K47" s="24"/>
      <c r="L47" s="36"/>
    </row>
    <row r="48" spans="1:15" s="12" customFormat="1" ht="8.25" customHeight="1" x14ac:dyDescent="0.25">
      <c r="G48" s="36"/>
      <c r="K48" s="23"/>
      <c r="L48" s="23"/>
      <c r="M48" s="23"/>
      <c r="O48" s="80"/>
    </row>
    <row r="49" spans="1:12" s="12" customFormat="1" x14ac:dyDescent="0.25">
      <c r="A49" s="59" t="s">
        <v>10</v>
      </c>
      <c r="B49" s="59"/>
      <c r="C49" s="59"/>
      <c r="D49" s="59"/>
      <c r="E49" s="59"/>
      <c r="F49" s="59"/>
      <c r="G49" s="59"/>
      <c r="J49" s="23"/>
      <c r="K49" s="23"/>
      <c r="L49" s="34"/>
    </row>
    <row r="50" spans="1:12" s="12" customFormat="1" x14ac:dyDescent="0.25">
      <c r="A50" s="283"/>
      <c r="B50" s="284"/>
      <c r="C50" s="284"/>
      <c r="D50" s="284"/>
      <c r="E50" s="284"/>
      <c r="F50" s="284"/>
      <c r="G50" s="285"/>
      <c r="J50" s="23"/>
      <c r="K50" s="23"/>
      <c r="L50" s="34"/>
    </row>
    <row r="51" spans="1:12" s="12" customFormat="1" x14ac:dyDescent="0.25">
      <c r="A51" s="286"/>
      <c r="B51" s="287"/>
      <c r="C51" s="287"/>
      <c r="D51" s="287"/>
      <c r="E51" s="287"/>
      <c r="F51" s="287"/>
      <c r="G51" s="288"/>
      <c r="J51" s="23"/>
      <c r="K51" s="23"/>
      <c r="L51" s="34"/>
    </row>
    <row r="52" spans="1:12" s="12" customFormat="1" x14ac:dyDescent="0.25">
      <c r="A52" s="286"/>
      <c r="B52" s="287"/>
      <c r="C52" s="287"/>
      <c r="D52" s="287"/>
      <c r="E52" s="287"/>
      <c r="F52" s="287"/>
      <c r="G52" s="288"/>
      <c r="J52" s="23"/>
      <c r="K52" s="23"/>
      <c r="L52" s="34"/>
    </row>
    <row r="53" spans="1:12" s="12" customFormat="1" x14ac:dyDescent="0.25">
      <c r="A53" s="286"/>
      <c r="B53" s="287"/>
      <c r="C53" s="287"/>
      <c r="D53" s="287"/>
      <c r="E53" s="287"/>
      <c r="F53" s="287"/>
      <c r="G53" s="288"/>
      <c r="J53" s="23"/>
      <c r="K53" s="23"/>
      <c r="L53" s="34"/>
    </row>
    <row r="54" spans="1:12" s="12" customFormat="1" x14ac:dyDescent="0.25">
      <c r="A54" s="286"/>
      <c r="B54" s="287"/>
      <c r="C54" s="287"/>
      <c r="D54" s="287"/>
      <c r="E54" s="287"/>
      <c r="F54" s="287"/>
      <c r="G54" s="288"/>
      <c r="J54" s="23"/>
      <c r="K54" s="23"/>
      <c r="L54" s="34"/>
    </row>
    <row r="55" spans="1:12" s="12" customFormat="1" x14ac:dyDescent="0.25">
      <c r="A55" s="289"/>
      <c r="B55" s="290"/>
      <c r="C55" s="290"/>
      <c r="D55" s="290"/>
      <c r="E55" s="290"/>
      <c r="F55" s="290"/>
      <c r="G55" s="291"/>
      <c r="J55" s="23"/>
      <c r="K55" s="23"/>
      <c r="L55" s="34"/>
    </row>
  </sheetData>
  <sheetProtection sheet="1" objects="1" scenarios="1"/>
  <mergeCells count="15">
    <mergeCell ref="O4:P8"/>
    <mergeCell ref="A47:G47"/>
    <mergeCell ref="G35:G40"/>
    <mergeCell ref="A50:G55"/>
    <mergeCell ref="B1:D1"/>
    <mergeCell ref="B2:D2"/>
    <mergeCell ref="A22:C22"/>
    <mergeCell ref="G8:G22"/>
    <mergeCell ref="A20:C20"/>
    <mergeCell ref="G24:G33"/>
    <mergeCell ref="A32:C32"/>
    <mergeCell ref="A33:C33"/>
    <mergeCell ref="A21:C21"/>
    <mergeCell ref="G42:G46"/>
    <mergeCell ref="G6:G7"/>
  </mergeCells>
  <conditionalFormatting sqref="D32">
    <cfRule type="cellIs" dxfId="54" priority="11" operator="greaterThan">
      <formula>4</formula>
    </cfRule>
  </conditionalFormatting>
  <conditionalFormatting sqref="D33">
    <cfRule type="cellIs" dxfId="53" priority="12" operator="greaterThan">
      <formula>4</formula>
    </cfRule>
  </conditionalFormatting>
  <conditionalFormatting sqref="D22">
    <cfRule type="cellIs" dxfId="52" priority="6" operator="greaterThan">
      <formula>4</formula>
    </cfRule>
  </conditionalFormatting>
  <conditionalFormatting sqref="D21">
    <cfRule type="cellIs" dxfId="51" priority="7" operator="greaterThan">
      <formula>4</formula>
    </cfRule>
  </conditionalFormatting>
  <conditionalFormatting sqref="D20">
    <cfRule type="cellIs" dxfId="50" priority="5" operator="greaterThan">
      <formula>4</formula>
    </cfRule>
  </conditionalFormatting>
  <conditionalFormatting sqref="B40">
    <cfRule type="cellIs" dxfId="49" priority="2" operator="equal">
      <formula>"XXX"</formula>
    </cfRule>
  </conditionalFormatting>
  <conditionalFormatting sqref="D5:D6">
    <cfRule type="cellIs" dxfId="48" priority="1" operator="greaterThan">
      <formula>4</formula>
    </cfRule>
  </conditionalFormatting>
  <pageMargins left="0.25" right="0.25" top="0.75" bottom="0.75" header="0.3" footer="0.3"/>
  <pageSetup orientation="portrait" r:id="rId1"/>
  <headerFooter>
    <oddHeader>&amp;C&amp;"Arial,Bold"&amp;14GPA or Hours Needed to Reach Goal</oddHeader>
    <oddFooter>&amp;CPLEASE NOTE: All of the above calculations are **tentative**.  This is an unofficial calculator, used only as a general guidance tool.  The Registrar's Office will calculate your actual GPA, which might differ from the estimates provided here.</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Don't enter grades of P, W, N, or I here since it will confuse the GPA calculator; leave this and the hours spaces blank. You can note this info in the Notes section instead." xr:uid="{00000000-0002-0000-0200-000000000000}">
          <x14:formula1>
            <xm:f>'Data Points'!$A$2:$A$13</xm:f>
          </x14:formula1>
          <xm:sqref>B26:B31 B10:B19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39997558519241921"/>
  </sheetPr>
  <dimension ref="A1:P56"/>
  <sheetViews>
    <sheetView workbookViewId="0">
      <selection activeCell="A8" sqref="A8"/>
    </sheetView>
  </sheetViews>
  <sheetFormatPr defaultColWidth="9.109375" defaultRowHeight="13.2" x14ac:dyDescent="0.25"/>
  <cols>
    <col min="1" max="1" width="22.109375" style="34" customWidth="1"/>
    <col min="2" max="2" width="6.5546875" style="34" bestFit="1" customWidth="1"/>
    <col min="3" max="3" width="6.109375" style="34" bestFit="1" customWidth="1"/>
    <col min="4" max="4" width="9.6640625" style="34" customWidth="1"/>
    <col min="5" max="5" width="27.88671875" style="34" customWidth="1"/>
    <col min="6" max="6" width="1.6640625" style="34" customWidth="1"/>
    <col min="7" max="7" width="29.109375" style="34" customWidth="1"/>
    <col min="8" max="8" width="9.109375" style="34"/>
    <col min="9" max="9" width="9.109375" style="34" customWidth="1"/>
    <col min="10" max="14" width="9.109375" style="34"/>
    <col min="15" max="15" width="33.5546875" style="34" customWidth="1"/>
    <col min="16" max="16384" width="9.109375" style="34"/>
  </cols>
  <sheetData>
    <row r="1" spans="1:15" s="12" customFormat="1" ht="12.75" customHeight="1" x14ac:dyDescent="0.25">
      <c r="A1" s="15" t="s">
        <v>6</v>
      </c>
      <c r="B1" s="266" t="str">
        <f>IF('Start Here!'!B2:D2&lt;&gt;"",'Start Here!'!B2:D2,"")</f>
        <v/>
      </c>
      <c r="C1" s="266"/>
      <c r="D1" s="266"/>
      <c r="F1" s="148" t="s">
        <v>8</v>
      </c>
      <c r="G1" s="81" t="str">
        <f>IF('Start Here!'!G2&lt;&gt;"",'Start Here!'!G2,"")</f>
        <v/>
      </c>
      <c r="K1" s="22"/>
      <c r="L1" s="22"/>
      <c r="M1" s="22"/>
      <c r="O1" s="34"/>
    </row>
    <row r="2" spans="1:15" s="12" customFormat="1" x14ac:dyDescent="0.25">
      <c r="A2" s="2" t="s">
        <v>7</v>
      </c>
      <c r="B2" s="266" t="str">
        <f>IF('Start Here!'!B3:D3&lt;&gt;"",'Start Here!'!B3:D3,"")</f>
        <v/>
      </c>
      <c r="C2" s="266"/>
      <c r="D2" s="266"/>
      <c r="F2" s="149" t="s">
        <v>9</v>
      </c>
      <c r="G2" s="81" t="str">
        <f>IF('Start Here!'!G3&lt;&gt;"",'Start Here!'!G3,"")</f>
        <v/>
      </c>
      <c r="K2" s="22"/>
      <c r="L2" s="22"/>
      <c r="M2" s="22"/>
      <c r="O2" s="35"/>
    </row>
    <row r="3" spans="1:15" s="155" customFormat="1" ht="6" customHeight="1" x14ac:dyDescent="0.25">
      <c r="A3" s="150"/>
      <c r="B3" s="151"/>
      <c r="C3" s="151"/>
      <c r="D3" s="151"/>
      <c r="E3" s="152"/>
      <c r="F3" s="153"/>
      <c r="G3" s="154"/>
      <c r="K3" s="156"/>
      <c r="L3" s="156"/>
      <c r="M3" s="156"/>
      <c r="O3" s="157"/>
    </row>
    <row r="4" spans="1:15" s="155" customFormat="1" ht="13.8" x14ac:dyDescent="0.25">
      <c r="A4" s="158" t="s">
        <v>103</v>
      </c>
      <c r="B4" s="15"/>
      <c r="C4" s="15"/>
      <c r="D4" s="123"/>
      <c r="E4" s="124"/>
      <c r="F4" s="154"/>
      <c r="G4" s="154"/>
      <c r="K4" s="156"/>
      <c r="L4" s="156"/>
      <c r="M4" s="156"/>
      <c r="O4" s="157"/>
    </row>
    <row r="5" spans="1:15" s="12" customFormat="1" ht="13.8" thickBot="1" x14ac:dyDescent="0.3">
      <c r="G5" s="63" t="s">
        <v>11</v>
      </c>
      <c r="K5" s="23"/>
      <c r="L5" s="23"/>
      <c r="M5" s="23"/>
    </row>
    <row r="6" spans="1:15" ht="17.399999999999999" x14ac:dyDescent="0.3">
      <c r="A6" s="37" t="s">
        <v>104</v>
      </c>
      <c r="B6" s="38"/>
      <c r="C6" s="38"/>
      <c r="D6" s="38"/>
      <c r="E6" s="39"/>
      <c r="F6" s="36"/>
      <c r="G6" s="271"/>
    </row>
    <row r="7" spans="1:15" x14ac:dyDescent="0.25">
      <c r="A7" s="40" t="s">
        <v>17</v>
      </c>
      <c r="B7" s="45" t="s">
        <v>18</v>
      </c>
      <c r="C7" s="46" t="s">
        <v>19</v>
      </c>
      <c r="D7" s="46" t="s">
        <v>12</v>
      </c>
      <c r="E7" s="47" t="s">
        <v>48</v>
      </c>
      <c r="F7" s="36"/>
      <c r="G7" s="271"/>
    </row>
    <row r="8" spans="1:15" x14ac:dyDescent="0.25">
      <c r="A8" s="58"/>
      <c r="B8" s="31"/>
      <c r="C8" s="31"/>
      <c r="D8" s="48" t="str">
        <f>IFERROR(C8*INDEX('Data Points'!$B$2:$B$16,MATCH(B8,'Data Points'!$A$2:$A$16,0)),"")</f>
        <v/>
      </c>
      <c r="E8" s="85"/>
      <c r="F8" s="36"/>
      <c r="G8" s="271"/>
    </row>
    <row r="9" spans="1:15" x14ac:dyDescent="0.25">
      <c r="A9" s="58"/>
      <c r="B9" s="31"/>
      <c r="C9" s="31"/>
      <c r="D9" s="48" t="str">
        <f>IFERROR(C9*INDEX('Data Points'!$B$2:$B$16,MATCH(B9,'Data Points'!$A$2:$A$16,0)),"")</f>
        <v/>
      </c>
      <c r="E9" s="85"/>
      <c r="F9" s="36"/>
      <c r="G9" s="271"/>
    </row>
    <row r="10" spans="1:15" x14ac:dyDescent="0.25">
      <c r="A10" s="58"/>
      <c r="B10" s="31"/>
      <c r="C10" s="31"/>
      <c r="D10" s="48" t="str">
        <f>IFERROR(C10*INDEX('Data Points'!$B$2:$B$16,MATCH(B10,'Data Points'!$A$2:$A$16,0)),"")</f>
        <v/>
      </c>
      <c r="E10" s="85"/>
      <c r="F10" s="36"/>
      <c r="G10" s="271"/>
    </row>
    <row r="11" spans="1:15" x14ac:dyDescent="0.25">
      <c r="A11" s="58"/>
      <c r="B11" s="31"/>
      <c r="C11" s="31"/>
      <c r="D11" s="48" t="str">
        <f>IFERROR(C11*INDEX('Data Points'!$B$2:$B$16,MATCH(B11,'Data Points'!$A$2:$A$16,0)),"")</f>
        <v/>
      </c>
      <c r="E11" s="85"/>
      <c r="F11" s="36"/>
      <c r="G11" s="271"/>
    </row>
    <row r="12" spans="1:15" x14ac:dyDescent="0.25">
      <c r="A12" s="58"/>
      <c r="B12" s="31"/>
      <c r="C12" s="31"/>
      <c r="D12" s="48" t="str">
        <f>IFERROR(C12*INDEX('Data Points'!$B$2:$B$16,MATCH(B12,'Data Points'!$A$2:$A$16,0)),"")</f>
        <v/>
      </c>
      <c r="E12" s="85"/>
      <c r="F12" s="36"/>
      <c r="G12" s="271"/>
    </row>
    <row r="13" spans="1:15" x14ac:dyDescent="0.25">
      <c r="A13" s="58"/>
      <c r="B13" s="31"/>
      <c r="C13" s="31"/>
      <c r="D13" s="48" t="str">
        <f>IFERROR(C13*INDEX('Data Points'!$B$2:$B$16,MATCH(B13,'Data Points'!$A$2:$A$16,0)),"")</f>
        <v/>
      </c>
      <c r="E13" s="85"/>
      <c r="F13" s="36"/>
      <c r="G13" s="271"/>
    </row>
    <row r="14" spans="1:15" x14ac:dyDescent="0.25">
      <c r="A14" s="58"/>
      <c r="B14" s="31"/>
      <c r="C14" s="31"/>
      <c r="D14" s="48" t="str">
        <f>IFERROR(C14*INDEX('Data Points'!$B$2:$B$16,MATCH(B14,'Data Points'!$A$2:$A$16,0)),"")</f>
        <v/>
      </c>
      <c r="E14" s="85"/>
      <c r="F14" s="36"/>
      <c r="G14" s="271"/>
    </row>
    <row r="15" spans="1:15" x14ac:dyDescent="0.25">
      <c r="A15" s="58"/>
      <c r="B15" s="31"/>
      <c r="C15" s="31"/>
      <c r="D15" s="48" t="str">
        <f>IFERROR(C15*INDEX('Data Points'!$B$2:$B$16,MATCH(B15,'Data Points'!$A$2:$A$16,0)),"")</f>
        <v/>
      </c>
      <c r="E15" s="85"/>
      <c r="F15" s="36"/>
      <c r="G15" s="271"/>
    </row>
    <row r="16" spans="1:15" x14ac:dyDescent="0.25">
      <c r="A16" s="58"/>
      <c r="B16" s="31"/>
      <c r="C16" s="31"/>
      <c r="D16" s="48" t="str">
        <f>IFERROR(C16*INDEX('Data Points'!$B$2:$B$16,MATCH(B16,'Data Points'!$A$2:$A$16,0)),"")</f>
        <v/>
      </c>
      <c r="E16" s="85"/>
      <c r="F16" s="36"/>
      <c r="G16" s="271"/>
    </row>
    <row r="17" spans="1:16" x14ac:dyDescent="0.25">
      <c r="A17" s="58"/>
      <c r="B17" s="31"/>
      <c r="C17" s="31"/>
      <c r="D17" s="48" t="str">
        <f>IFERROR(C17*INDEX('Data Points'!$B$2:$B$16,MATCH(B17,'Data Points'!$A$2:$A$16,0)),"")</f>
        <v/>
      </c>
      <c r="E17" s="85"/>
      <c r="F17" s="36"/>
      <c r="G17" s="271"/>
    </row>
    <row r="18" spans="1:16" x14ac:dyDescent="0.25">
      <c r="A18" s="58"/>
      <c r="B18" s="31"/>
      <c r="C18" s="31"/>
      <c r="D18" s="48" t="str">
        <f>IFERROR(C18*INDEX('Data Points'!$B$2:$B$16,MATCH(B18,'Data Points'!$A$2:$A$16,0)),"")</f>
        <v/>
      </c>
      <c r="E18" s="85"/>
      <c r="F18" s="36"/>
      <c r="G18" s="271"/>
    </row>
    <row r="19" spans="1:16" x14ac:dyDescent="0.25">
      <c r="A19" s="58"/>
      <c r="B19" s="31"/>
      <c r="C19" s="31"/>
      <c r="D19" s="48" t="str">
        <f>IFERROR(C19*INDEX('Data Points'!$B$2:$B$16,MATCH(B19,'Data Points'!$A$2:$A$16,0)),"")</f>
        <v/>
      </c>
      <c r="E19" s="85"/>
      <c r="F19" s="36"/>
      <c r="G19" s="271"/>
    </row>
    <row r="20" spans="1:16" x14ac:dyDescent="0.25">
      <c r="A20" s="58"/>
      <c r="B20" s="31"/>
      <c r="C20" s="31"/>
      <c r="D20" s="48" t="str">
        <f>IFERROR(C20*INDEX('Data Points'!$B$2:$B$16,MATCH(B20,'Data Points'!$A$2:$A$16,0)),"")</f>
        <v/>
      </c>
      <c r="E20" s="85"/>
      <c r="F20" s="36"/>
      <c r="G20" s="271"/>
    </row>
    <row r="21" spans="1:16" x14ac:dyDescent="0.25">
      <c r="A21" s="58"/>
      <c r="B21" s="31"/>
      <c r="C21" s="31"/>
      <c r="D21" s="48" t="str">
        <f>IFERROR(C21*INDEX('Data Points'!$B$2:$B$16,MATCH(B21,'Data Points'!$A$2:$A$16,0)),"")</f>
        <v/>
      </c>
      <c r="E21" s="85"/>
      <c r="F21" s="36"/>
      <c r="G21" s="271"/>
    </row>
    <row r="22" spans="1:16" x14ac:dyDescent="0.25">
      <c r="A22" s="58"/>
      <c r="B22" s="31"/>
      <c r="C22" s="31"/>
      <c r="D22" s="48" t="str">
        <f>IFERROR(C22*INDEX('Data Points'!$B$2:$B$16,MATCH(B22,'Data Points'!$A$2:$A$16,0)),"")</f>
        <v/>
      </c>
      <c r="E22" s="85"/>
      <c r="F22" s="36"/>
      <c r="G22" s="271"/>
    </row>
    <row r="23" spans="1:16" x14ac:dyDescent="0.25">
      <c r="A23" s="58"/>
      <c r="B23" s="31"/>
      <c r="C23" s="31"/>
      <c r="D23" s="48" t="str">
        <f>IFERROR(C23*INDEX('Data Points'!$B$2:$B$16,MATCH(B23,'Data Points'!$A$2:$A$16,0)),"")</f>
        <v/>
      </c>
      <c r="E23" s="85"/>
      <c r="F23" s="36"/>
      <c r="G23" s="271"/>
    </row>
    <row r="24" spans="1:16" x14ac:dyDescent="0.25">
      <c r="A24" s="58"/>
      <c r="B24" s="31"/>
      <c r="C24" s="31"/>
      <c r="D24" s="48" t="str">
        <f>IFERROR(C24*INDEX('Data Points'!$B$2:$B$16,MATCH(B24,'Data Points'!$A$2:$A$16,0)),"")</f>
        <v/>
      </c>
      <c r="E24" s="85"/>
      <c r="F24" s="36"/>
      <c r="G24" s="271"/>
    </row>
    <row r="25" spans="1:16" x14ac:dyDescent="0.25">
      <c r="A25" s="58"/>
      <c r="B25" s="31"/>
      <c r="C25" s="31"/>
      <c r="D25" s="48" t="str">
        <f>IFERROR(C25*INDEX('Data Points'!$B$2:$B$16,MATCH(B25,'Data Points'!$A$2:$A$16,0)),"")</f>
        <v/>
      </c>
      <c r="E25" s="85"/>
      <c r="F25" s="36"/>
      <c r="G25" s="271"/>
    </row>
    <row r="26" spans="1:16" x14ac:dyDescent="0.25">
      <c r="A26" s="58"/>
      <c r="B26" s="31"/>
      <c r="C26" s="31"/>
      <c r="D26" s="48" t="str">
        <f>IFERROR(C26*INDEX('Data Points'!$B$2:$B$16,MATCH(B26,'Data Points'!$A$2:$A$16,0)),"")</f>
        <v/>
      </c>
      <c r="E26" s="85"/>
      <c r="F26" s="36"/>
      <c r="G26" s="271"/>
    </row>
    <row r="27" spans="1:16" x14ac:dyDescent="0.25">
      <c r="A27" s="58"/>
      <c r="B27" s="31"/>
      <c r="C27" s="31"/>
      <c r="D27" s="48" t="str">
        <f>IFERROR(C27*INDEX('Data Points'!$B$2:$B$16,MATCH(B27,'Data Points'!$A$2:$A$16,0)),"")</f>
        <v/>
      </c>
      <c r="E27" s="85"/>
      <c r="F27" s="36"/>
      <c r="G27" s="271"/>
    </row>
    <row r="28" spans="1:16" x14ac:dyDescent="0.25">
      <c r="A28" s="58"/>
      <c r="B28" s="31"/>
      <c r="C28" s="31"/>
      <c r="D28" s="48" t="str">
        <f>IFERROR(C28*INDEX('Data Points'!$B$2:$B$16,MATCH(B28,'Data Points'!$A$2:$A$16,0)),"")</f>
        <v/>
      </c>
      <c r="E28" s="85"/>
      <c r="F28" s="36"/>
      <c r="G28" s="271"/>
    </row>
    <row r="29" spans="1:16" x14ac:dyDescent="0.25">
      <c r="A29" s="58"/>
      <c r="B29" s="31"/>
      <c r="C29" s="31"/>
      <c r="D29" s="48" t="str">
        <f>IFERROR(C29*INDEX('Data Points'!$B$2:$B$16,MATCH(B29,'Data Points'!$A$2:$A$16,0)),"")</f>
        <v/>
      </c>
      <c r="E29" s="85"/>
      <c r="F29" s="36"/>
      <c r="G29" s="271"/>
      <c r="O29" s="107" t="s">
        <v>105</v>
      </c>
      <c r="P29" s="108">
        <f>IFERROR(SUM($D$8:$D$32),0)</f>
        <v>0</v>
      </c>
    </row>
    <row r="30" spans="1:16" x14ac:dyDescent="0.25">
      <c r="A30" s="58"/>
      <c r="B30" s="31"/>
      <c r="C30" s="31"/>
      <c r="D30" s="48" t="str">
        <f>IFERROR(C30*INDEX('Data Points'!$B$2:$B$16,MATCH(B30,'Data Points'!$A$2:$A$16,0)),"")</f>
        <v/>
      </c>
      <c r="E30" s="85"/>
      <c r="F30" s="36"/>
      <c r="G30" s="271"/>
    </row>
    <row r="31" spans="1:16" x14ac:dyDescent="0.25">
      <c r="A31" s="58"/>
      <c r="B31" s="31"/>
      <c r="C31" s="31"/>
      <c r="D31" s="48" t="str">
        <f>IFERROR(C31*INDEX('Data Points'!$B$2:$B$16,MATCH(B31,'Data Points'!$A$2:$A$16,0)),"")</f>
        <v/>
      </c>
      <c r="E31" s="85"/>
      <c r="F31" s="36"/>
      <c r="G31" s="271"/>
    </row>
    <row r="32" spans="1:16" x14ac:dyDescent="0.25">
      <c r="A32" s="58"/>
      <c r="B32" s="31"/>
      <c r="C32" s="31"/>
      <c r="D32" s="48" t="str">
        <f>IFERROR(C32*INDEX('Data Points'!$B$2:$B$16,MATCH(B32,'Data Points'!$A$2:$A$16,0)),"")</f>
        <v/>
      </c>
      <c r="E32" s="85"/>
      <c r="F32" s="36"/>
      <c r="G32" s="271"/>
    </row>
    <row r="33" spans="1:16" x14ac:dyDescent="0.25">
      <c r="A33" s="294"/>
      <c r="B33" s="295"/>
      <c r="C33" s="295"/>
      <c r="D33" s="53"/>
      <c r="E33" s="54"/>
      <c r="F33" s="36"/>
      <c r="G33" s="271"/>
      <c r="O33" s="107" t="s">
        <v>63</v>
      </c>
      <c r="P33" s="35">
        <f>IFERROR(SUM(SUM($C$8:$C$32)-SUM(#REF!)),0)</f>
        <v>0</v>
      </c>
    </row>
    <row r="34" spans="1:16" ht="13.8" thickBot="1" x14ac:dyDescent="0.3">
      <c r="A34" s="292" t="s">
        <v>33</v>
      </c>
      <c r="B34" s="293"/>
      <c r="C34" s="293"/>
      <c r="D34" s="50">
        <f>IFERROR(SUM($D$8:$D$32)/SUM($C$8:$C$32),0)</f>
        <v>0</v>
      </c>
      <c r="E34" s="257" t="s">
        <v>20</v>
      </c>
      <c r="F34" s="36"/>
      <c r="G34" s="271"/>
      <c r="O34" s="107" t="s">
        <v>62</v>
      </c>
      <c r="P34" s="108">
        <f>IFERROR(SUM(SUM($D$8:$D$32)-SUM(#REF!)),0)</f>
        <v>0</v>
      </c>
    </row>
    <row r="35" spans="1:16" ht="6" customHeight="1" x14ac:dyDescent="0.25">
      <c r="A35" s="36"/>
      <c r="B35" s="36"/>
      <c r="C35" s="36"/>
      <c r="D35" s="36"/>
      <c r="E35" s="36"/>
      <c r="F35" s="36"/>
      <c r="G35" s="52"/>
    </row>
    <row r="36" spans="1:16" ht="18" thickBot="1" x14ac:dyDescent="0.35">
      <c r="A36" s="159" t="s">
        <v>106</v>
      </c>
      <c r="B36" s="36"/>
      <c r="C36" s="36"/>
      <c r="D36" s="36"/>
      <c r="E36" s="36"/>
      <c r="F36" s="36"/>
      <c r="G36" s="52"/>
    </row>
    <row r="37" spans="1:16" s="12" customFormat="1" ht="15.6" x14ac:dyDescent="0.3">
      <c r="A37" s="160" t="s">
        <v>107</v>
      </c>
      <c r="B37" s="5"/>
      <c r="C37" s="5"/>
      <c r="D37" s="5"/>
      <c r="E37" s="6"/>
      <c r="G37" s="280"/>
      <c r="I37" s="23"/>
      <c r="J37" s="23"/>
      <c r="K37" s="34"/>
    </row>
    <row r="38" spans="1:16" s="12" customFormat="1" x14ac:dyDescent="0.25">
      <c r="A38" s="7" t="s">
        <v>4</v>
      </c>
      <c r="B38" s="20"/>
      <c r="C38" s="1" t="s">
        <v>39</v>
      </c>
      <c r="D38" s="1"/>
      <c r="E38" s="8"/>
      <c r="G38" s="281"/>
      <c r="I38" s="23"/>
      <c r="J38" s="23"/>
      <c r="K38" s="34"/>
      <c r="O38" s="107" t="s">
        <v>108</v>
      </c>
      <c r="P38" s="35">
        <f>P33+B39</f>
        <v>0</v>
      </c>
    </row>
    <row r="39" spans="1:16" s="12" customFormat="1" x14ac:dyDescent="0.25">
      <c r="A39" s="7" t="s">
        <v>109</v>
      </c>
      <c r="B39" s="20"/>
      <c r="C39" s="1" t="s">
        <v>110</v>
      </c>
      <c r="D39" s="1"/>
      <c r="E39" s="8"/>
      <c r="G39" s="281"/>
      <c r="I39" s="23"/>
      <c r="J39" s="23"/>
      <c r="K39" s="34"/>
      <c r="O39" s="107" t="s">
        <v>111</v>
      </c>
      <c r="P39" s="108">
        <f>P34+B38*B39</f>
        <v>0</v>
      </c>
    </row>
    <row r="40" spans="1:16" s="12" customFormat="1" x14ac:dyDescent="0.25">
      <c r="A40" s="9"/>
      <c r="B40" s="1"/>
      <c r="C40" s="1"/>
      <c r="D40" s="1"/>
      <c r="E40" s="8"/>
      <c r="G40" s="281"/>
      <c r="I40" s="23"/>
      <c r="J40" s="23"/>
      <c r="K40" s="34"/>
    </row>
    <row r="41" spans="1:16" s="12" customFormat="1" ht="13.8" thickBot="1" x14ac:dyDescent="0.3">
      <c r="A41" s="292" t="s">
        <v>33</v>
      </c>
      <c r="B41" s="293"/>
      <c r="C41" s="293"/>
      <c r="D41" s="50">
        <f>IFERROR(P39/P38,0)</f>
        <v>0</v>
      </c>
      <c r="E41" s="55" t="s">
        <v>112</v>
      </c>
      <c r="G41" s="282"/>
      <c r="I41" s="23"/>
      <c r="J41" s="23"/>
      <c r="K41" s="34"/>
    </row>
    <row r="42" spans="1:16" ht="6" customHeight="1" thickBot="1" x14ac:dyDescent="0.3">
      <c r="A42" s="56"/>
      <c r="B42" s="56"/>
      <c r="C42" s="56"/>
      <c r="D42" s="56"/>
      <c r="E42" s="56"/>
      <c r="F42" s="36"/>
      <c r="G42" s="52"/>
    </row>
    <row r="43" spans="1:16" s="12" customFormat="1" ht="15.6" x14ac:dyDescent="0.3">
      <c r="A43" s="160" t="s">
        <v>113</v>
      </c>
      <c r="B43" s="5"/>
      <c r="C43" s="5"/>
      <c r="D43" s="5"/>
      <c r="E43" s="6"/>
      <c r="G43" s="280"/>
      <c r="I43" s="23"/>
      <c r="J43" s="23"/>
      <c r="K43" s="34"/>
    </row>
    <row r="44" spans="1:16" s="12" customFormat="1" x14ac:dyDescent="0.25">
      <c r="A44" s="7" t="s">
        <v>4</v>
      </c>
      <c r="B44" s="20"/>
      <c r="C44" s="1" t="s">
        <v>39</v>
      </c>
      <c r="D44" s="1"/>
      <c r="E44" s="8"/>
      <c r="G44" s="281"/>
      <c r="I44" s="23"/>
      <c r="J44" s="23"/>
      <c r="K44" s="34"/>
      <c r="O44" s="107" t="s">
        <v>114</v>
      </c>
      <c r="P44" s="35">
        <f>B48+P33</f>
        <v>0</v>
      </c>
    </row>
    <row r="45" spans="1:16" s="12" customFormat="1" x14ac:dyDescent="0.25">
      <c r="A45" s="7" t="s">
        <v>115</v>
      </c>
      <c r="B45" s="20"/>
      <c r="C45" s="1" t="s">
        <v>40</v>
      </c>
      <c r="D45" s="1"/>
      <c r="E45" s="8"/>
      <c r="G45" s="281"/>
      <c r="I45" s="23"/>
      <c r="J45" s="23"/>
      <c r="K45" s="34"/>
      <c r="O45" s="107" t="s">
        <v>116</v>
      </c>
      <c r="P45" s="108">
        <f>P34+B44*B48</f>
        <v>0</v>
      </c>
    </row>
    <row r="46" spans="1:16" s="12" customFormat="1" x14ac:dyDescent="0.25">
      <c r="A46" s="9"/>
      <c r="B46" s="1"/>
      <c r="C46" s="1"/>
      <c r="D46" s="1"/>
      <c r="E46" s="8"/>
      <c r="G46" s="281"/>
      <c r="I46" s="23"/>
      <c r="J46" s="23"/>
      <c r="K46" s="34"/>
    </row>
    <row r="47" spans="1:16" s="12" customFormat="1" x14ac:dyDescent="0.25">
      <c r="A47" s="84" t="s">
        <v>83</v>
      </c>
      <c r="B47" s="29"/>
      <c r="C47" s="29"/>
      <c r="D47" s="29"/>
      <c r="E47" s="94"/>
      <c r="G47" s="281"/>
      <c r="I47" s="23"/>
      <c r="J47" s="23"/>
      <c r="K47" s="34"/>
    </row>
    <row r="48" spans="1:16" s="12" customFormat="1" ht="13.8" thickBot="1" x14ac:dyDescent="0.3">
      <c r="A48" s="27" t="s">
        <v>61</v>
      </c>
      <c r="B48" s="28">
        <f>IFERROR(IF((B45*P33-P34)/SUM(B44-B45)&lt;=0,"XXX",ROUNDUP((B45*P33-P34)/SUM(B44-B45),0)),0)</f>
        <v>0</v>
      </c>
      <c r="C48" s="11" t="s">
        <v>60</v>
      </c>
      <c r="D48" s="28">
        <f>B44</f>
        <v>0</v>
      </c>
      <c r="E48" s="93" t="s">
        <v>5</v>
      </c>
      <c r="G48" s="282"/>
      <c r="I48" s="23"/>
      <c r="J48" s="23"/>
      <c r="K48" s="34"/>
    </row>
    <row r="49" spans="1:16" ht="6" customHeight="1" thickBot="1" x14ac:dyDescent="0.3">
      <c r="A49" s="56"/>
      <c r="B49" s="56"/>
      <c r="C49" s="56"/>
      <c r="D49" s="56"/>
      <c r="E49" s="56"/>
      <c r="F49" s="36"/>
      <c r="G49" s="52"/>
    </row>
    <row r="50" spans="1:16" s="12" customFormat="1" ht="15.6" x14ac:dyDescent="0.3">
      <c r="A50" s="160" t="s">
        <v>117</v>
      </c>
      <c r="B50" s="5"/>
      <c r="C50" s="5"/>
      <c r="D50" s="5"/>
      <c r="E50" s="6"/>
      <c r="G50" s="280"/>
      <c r="I50" s="23"/>
      <c r="J50" s="23"/>
      <c r="K50" s="34"/>
    </row>
    <row r="51" spans="1:16" s="12" customFormat="1" x14ac:dyDescent="0.25">
      <c r="A51" s="7" t="s">
        <v>109</v>
      </c>
      <c r="B51" s="20"/>
      <c r="C51" s="1" t="s">
        <v>110</v>
      </c>
      <c r="D51" s="1"/>
      <c r="E51" s="8"/>
      <c r="G51" s="281"/>
      <c r="I51" s="23"/>
      <c r="J51" s="23"/>
      <c r="K51" s="34"/>
      <c r="O51" s="107" t="s">
        <v>118</v>
      </c>
      <c r="P51" s="35">
        <f>B51+P33</f>
        <v>0</v>
      </c>
    </row>
    <row r="52" spans="1:16" s="12" customFormat="1" x14ac:dyDescent="0.25">
      <c r="A52" s="7" t="s">
        <v>115</v>
      </c>
      <c r="B52" s="20"/>
      <c r="C52" s="1" t="s">
        <v>40</v>
      </c>
      <c r="D52" s="1"/>
      <c r="E52" s="8"/>
      <c r="G52" s="281"/>
      <c r="I52" s="23"/>
      <c r="J52" s="23"/>
      <c r="K52" s="34"/>
      <c r="O52" s="107" t="s">
        <v>119</v>
      </c>
      <c r="P52" s="108">
        <f>B52*P51</f>
        <v>0</v>
      </c>
    </row>
    <row r="53" spans="1:16" s="12" customFormat="1" x14ac:dyDescent="0.25">
      <c r="A53" s="9"/>
      <c r="B53" s="1"/>
      <c r="C53" s="1"/>
      <c r="D53" s="1"/>
      <c r="E53" s="8"/>
      <c r="G53" s="281"/>
      <c r="I53" s="23"/>
      <c r="J53" s="23"/>
      <c r="K53" s="34"/>
    </row>
    <row r="54" spans="1:16" s="12" customFormat="1" ht="13.8" thickBot="1" x14ac:dyDescent="0.3">
      <c r="A54" s="27" t="s">
        <v>120</v>
      </c>
      <c r="B54" s="28">
        <f>IFERROR(SUM(P52-P34)/B51,0)</f>
        <v>0</v>
      </c>
      <c r="C54" s="11" t="s">
        <v>121</v>
      </c>
      <c r="D54" s="11"/>
      <c r="E54" s="93"/>
      <c r="G54" s="282"/>
      <c r="I54" s="23"/>
      <c r="J54" s="23"/>
      <c r="K54" s="34"/>
    </row>
    <row r="55" spans="1:16" s="12" customFormat="1" x14ac:dyDescent="0.25">
      <c r="A55" s="161" t="s">
        <v>122</v>
      </c>
      <c r="B55" s="105"/>
      <c r="C55" s="106"/>
      <c r="D55" s="106"/>
      <c r="E55" s="106"/>
      <c r="I55" s="23"/>
      <c r="J55" s="23"/>
      <c r="K55" s="34"/>
    </row>
    <row r="56" spans="1:16" s="12" customFormat="1" x14ac:dyDescent="0.25">
      <c r="A56" s="161"/>
      <c r="B56" s="105"/>
      <c r="C56" s="106"/>
      <c r="D56" s="106"/>
      <c r="E56" s="106"/>
      <c r="I56" s="23"/>
      <c r="J56" s="23"/>
      <c r="K56" s="34"/>
    </row>
  </sheetData>
  <sheetProtection sheet="1" objects="1" scenarios="1"/>
  <mergeCells count="9">
    <mergeCell ref="G43:G48"/>
    <mergeCell ref="G50:G54"/>
    <mergeCell ref="B2:D2"/>
    <mergeCell ref="B1:D1"/>
    <mergeCell ref="G6:G34"/>
    <mergeCell ref="A33:C33"/>
    <mergeCell ref="A34:C34"/>
    <mergeCell ref="G37:G41"/>
    <mergeCell ref="A41:C41"/>
  </mergeCells>
  <conditionalFormatting sqref="D34">
    <cfRule type="cellIs" dxfId="47" priority="5" operator="greaterThan">
      <formula>4</formula>
    </cfRule>
  </conditionalFormatting>
  <conditionalFormatting sqref="D33">
    <cfRule type="cellIs" dxfId="46" priority="4" operator="greaterThan">
      <formula>4</formula>
    </cfRule>
  </conditionalFormatting>
  <conditionalFormatting sqref="B48">
    <cfRule type="cellIs" dxfId="45" priority="3" operator="equal">
      <formula>"XXX"</formula>
    </cfRule>
  </conditionalFormatting>
  <conditionalFormatting sqref="D41">
    <cfRule type="cellIs" dxfId="44" priority="2" operator="greaterThan">
      <formula>4</formula>
    </cfRule>
  </conditionalFormatting>
  <conditionalFormatting sqref="B54">
    <cfRule type="cellIs" dxfId="43" priority="1" operator="greaterThan">
      <formula>4</formula>
    </cfRule>
  </conditionalFormatting>
  <pageMargins left="0.25" right="0.25" top="0.75" bottom="0.75" header="0.3" footer="0.3"/>
  <pageSetup orientation="portrait" r:id="rId1"/>
  <headerFooter>
    <oddHeader>&amp;C&amp;"Arial,Bold"&amp;14GPA Calculator</oddHeader>
    <oddFooter>&amp;CPLEASE NOTE: All of the above calculations are **tentative**.  This is an unofficial calculator, used only as a general guidance tool.  The Registrar's Office will calculate your actual GPA, which might differ from the estimates provided here.</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Don't enter grades of P, W, N, or I here since it will confuse the GPA calculator; leave this and the hours spaces blank. You can note this info in the Notes section instead." xr:uid="{00000000-0002-0000-0300-000000000000}">
          <x14:formula1>
            <xm:f>'Data Points'!$A$1:$A$16</xm:f>
          </x14:formula1>
          <xm:sqref>B8:B32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5" tint="-0.249977111117893"/>
  </sheetPr>
  <dimension ref="A1:N69"/>
  <sheetViews>
    <sheetView zoomScale="115" zoomScaleNormal="115" workbookViewId="0">
      <selection activeCell="A13" sqref="A13"/>
    </sheetView>
  </sheetViews>
  <sheetFormatPr defaultColWidth="9.109375" defaultRowHeight="13.2" x14ac:dyDescent="0.25"/>
  <cols>
    <col min="1" max="1" width="34.44140625" style="36" customWidth="1"/>
    <col min="2" max="2" width="8.109375" style="36" bestFit="1" customWidth="1"/>
    <col min="3" max="3" width="12.6640625" style="36" bestFit="1" customWidth="1"/>
    <col min="4" max="4" width="9.5546875" style="36" bestFit="1" customWidth="1"/>
    <col min="5" max="5" width="39.109375" style="36" customWidth="1"/>
    <col min="6" max="6" width="31" style="36" customWidth="1"/>
    <col min="7" max="7" width="9.109375" style="36"/>
    <col min="8" max="8" width="9.109375" style="22"/>
    <col min="9" max="9" width="36.109375" style="22" customWidth="1"/>
    <col min="10" max="13" width="9.109375" style="36"/>
    <col min="14" max="14" width="37.5546875" style="36" customWidth="1"/>
    <col min="15" max="16384" width="9.109375" style="36"/>
  </cols>
  <sheetData>
    <row r="1" spans="1:14" ht="12.75" customHeight="1" x14ac:dyDescent="0.25">
      <c r="A1" s="178" t="str">
        <f>IF('Start Here!'!$B$2&lt;&gt;"",'Start Here!'!$B$2,"")</f>
        <v/>
      </c>
      <c r="B1" s="62" t="s">
        <v>134</v>
      </c>
      <c r="D1" s="44" t="s">
        <v>150</v>
      </c>
      <c r="E1" s="81" t="str">
        <f>IF('Start Here!'!G2&lt;&gt;"",'Start Here!'!G2,"")</f>
        <v/>
      </c>
      <c r="G1" s="22"/>
      <c r="I1" s="36"/>
    </row>
    <row r="2" spans="1:14" ht="12.75" customHeight="1" x14ac:dyDescent="0.25">
      <c r="A2" s="178" t="str">
        <f>IF('Start Here!'!$B$3&lt;&gt;"",'Start Here!'!$B$3,"")</f>
        <v/>
      </c>
      <c r="B2" s="46" t="s">
        <v>135</v>
      </c>
      <c r="D2" s="179" t="s">
        <v>151</v>
      </c>
      <c r="E2" s="81" t="str">
        <f>IF('Start Here!'!G3&lt;&gt;"",'Start Here!'!G3,"")</f>
        <v/>
      </c>
      <c r="G2" s="22"/>
      <c r="I2" s="36"/>
    </row>
    <row r="3" spans="1:14" ht="13.8" thickBot="1" x14ac:dyDescent="0.3">
      <c r="N3" s="177"/>
    </row>
    <row r="4" spans="1:14" ht="17.399999999999999" x14ac:dyDescent="0.3">
      <c r="A4" s="139" t="s">
        <v>98</v>
      </c>
      <c r="B4" s="38"/>
      <c r="C4" s="68"/>
      <c r="D4" s="68"/>
      <c r="E4" s="163"/>
      <c r="F4" s="22"/>
      <c r="G4" s="22"/>
      <c r="I4" s="36"/>
      <c r="N4" s="177"/>
    </row>
    <row r="5" spans="1:14" x14ac:dyDescent="0.25">
      <c r="A5" s="164" t="s">
        <v>129</v>
      </c>
      <c r="B5" s="230"/>
      <c r="D5" s="135">
        <f>IF(B5&lt;24,24,IF(B5&lt;48,48,IF(B5&lt;72,72,IF(B5&lt;96,96,"Inelig--120 hrs"))))</f>
        <v>24</v>
      </c>
      <c r="E5" s="165" t="s">
        <v>124</v>
      </c>
      <c r="F5" s="22"/>
      <c r="G5" s="22"/>
      <c r="H5" s="34"/>
      <c r="I5" s="36"/>
      <c r="N5" s="177"/>
    </row>
    <row r="6" spans="1:14" x14ac:dyDescent="0.25">
      <c r="A6" s="164" t="s">
        <v>131</v>
      </c>
      <c r="B6" s="230"/>
      <c r="D6" s="180" t="e">
        <f>B7/B6</f>
        <v>#DIV/0!</v>
      </c>
      <c r="E6" s="165" t="s">
        <v>130</v>
      </c>
      <c r="F6" s="22"/>
      <c r="G6" s="22"/>
      <c r="H6" s="34"/>
      <c r="I6" s="36"/>
      <c r="N6" s="177"/>
    </row>
    <row r="7" spans="1:14" ht="13.5" customHeight="1" thickBot="1" x14ac:dyDescent="0.3">
      <c r="A7" s="166" t="s">
        <v>132</v>
      </c>
      <c r="B7" s="231"/>
      <c r="C7" s="43"/>
      <c r="D7" s="181">
        <f>IF(OR($D$5=24,D5=48),2.75,IF(OR($D$5=72,$D$5=96),3,"Check"))</f>
        <v>2.75</v>
      </c>
      <c r="E7" s="167" t="s">
        <v>133</v>
      </c>
      <c r="F7" s="22"/>
      <c r="G7" s="22"/>
      <c r="H7" s="34"/>
      <c r="I7" s="36"/>
      <c r="N7" s="177"/>
    </row>
    <row r="8" spans="1:14" ht="13.8" thickBot="1" x14ac:dyDescent="0.3">
      <c r="B8" s="43"/>
      <c r="C8" s="43"/>
      <c r="D8" s="182"/>
      <c r="E8" s="43"/>
      <c r="F8" s="34"/>
      <c r="N8" s="177"/>
    </row>
    <row r="9" spans="1:14" s="34" customFormat="1" ht="18" customHeight="1" x14ac:dyDescent="0.3">
      <c r="A9" s="37" t="s">
        <v>73</v>
      </c>
      <c r="B9" s="38"/>
      <c r="C9" s="38"/>
      <c r="D9" s="38"/>
      <c r="E9" s="39"/>
      <c r="K9" s="36"/>
      <c r="L9" s="36"/>
      <c r="N9" s="177"/>
    </row>
    <row r="10" spans="1:14" s="34" customFormat="1" x14ac:dyDescent="0.25">
      <c r="A10" s="40" t="s">
        <v>17</v>
      </c>
      <c r="B10" s="187" t="s">
        <v>18</v>
      </c>
      <c r="C10" s="188" t="s">
        <v>19</v>
      </c>
      <c r="D10" s="188" t="s">
        <v>12</v>
      </c>
      <c r="E10" s="47" t="s">
        <v>48</v>
      </c>
      <c r="F10" s="174"/>
      <c r="N10" s="177"/>
    </row>
    <row r="11" spans="1:14" s="34" customFormat="1" x14ac:dyDescent="0.25">
      <c r="A11" s="58"/>
      <c r="B11" s="31"/>
      <c r="C11" s="31"/>
      <c r="D11" s="190" t="str">
        <f>IFERROR(C11*INDEX('Data Points'!$B$2:$B$16,MATCH(B11,'Data Points'!$A$2:$A$16,0)),"")</f>
        <v/>
      </c>
      <c r="E11" s="85"/>
      <c r="F11" s="173"/>
      <c r="N11" s="177"/>
    </row>
    <row r="12" spans="1:14" s="34" customFormat="1" x14ac:dyDescent="0.25">
      <c r="A12" s="58"/>
      <c r="B12" s="31"/>
      <c r="C12" s="31"/>
      <c r="D12" s="190" t="str">
        <f>IFERROR(C12*INDEX('Data Points'!$B$2:$B$16,MATCH(B12,'Data Points'!$A$2:$A$16,0)),"")</f>
        <v/>
      </c>
      <c r="E12" s="85"/>
      <c r="F12" s="173"/>
      <c r="N12" s="177"/>
    </row>
    <row r="13" spans="1:14" s="34" customFormat="1" x14ac:dyDescent="0.25">
      <c r="A13" s="58"/>
      <c r="B13" s="31"/>
      <c r="C13" s="31"/>
      <c r="D13" s="190" t="str">
        <f>IFERROR(C13*INDEX('Data Points'!$B$2:$B$16,MATCH(B13,'Data Points'!$A$2:$A$16,0)),"")</f>
        <v/>
      </c>
      <c r="E13" s="85"/>
      <c r="F13" s="173"/>
      <c r="N13" s="177"/>
    </row>
    <row r="14" spans="1:14" s="34" customFormat="1" x14ac:dyDescent="0.25">
      <c r="A14" s="58"/>
      <c r="B14" s="31"/>
      <c r="C14" s="31"/>
      <c r="D14" s="190" t="str">
        <f>IFERROR(C14*INDEX('Data Points'!$B$2:$B$16,MATCH(B14,'Data Points'!$A$2:$A$16,0)),"")</f>
        <v/>
      </c>
      <c r="E14" s="85"/>
      <c r="F14" s="173"/>
      <c r="N14" s="177"/>
    </row>
    <row r="15" spans="1:14" s="34" customFormat="1" x14ac:dyDescent="0.25">
      <c r="A15" s="58"/>
      <c r="B15" s="31"/>
      <c r="C15" s="31"/>
      <c r="D15" s="190" t="str">
        <f>IFERROR(C15*INDEX('Data Points'!$B$2:$B$16,MATCH(B15,'Data Points'!$A$2:$A$16,0)),"")</f>
        <v/>
      </c>
      <c r="E15" s="85"/>
      <c r="F15" s="173"/>
      <c r="K15" s="107"/>
      <c r="L15" s="203"/>
      <c r="N15" s="177"/>
    </row>
    <row r="16" spans="1:14" s="34" customFormat="1" x14ac:dyDescent="0.25">
      <c r="A16" s="58"/>
      <c r="B16" s="31"/>
      <c r="C16" s="31"/>
      <c r="D16" s="190"/>
      <c r="E16" s="85"/>
      <c r="F16" s="173"/>
      <c r="K16" s="107"/>
      <c r="L16" s="204"/>
      <c r="N16" s="177"/>
    </row>
    <row r="17" spans="1:14" s="34" customFormat="1" x14ac:dyDescent="0.25">
      <c r="A17" s="304" t="s">
        <v>158</v>
      </c>
      <c r="B17" s="305"/>
      <c r="C17" s="31"/>
      <c r="D17" s="206" t="s">
        <v>152</v>
      </c>
      <c r="E17" s="85"/>
      <c r="F17" s="173"/>
      <c r="K17" s="222" t="s">
        <v>156</v>
      </c>
      <c r="L17" s="203">
        <f>IFERROR(SUM(B6+D19-SUM(C25:C25)),0)</f>
        <v>0</v>
      </c>
      <c r="N17" s="177"/>
    </row>
    <row r="18" spans="1:14" s="34" customFormat="1" x14ac:dyDescent="0.25">
      <c r="A18" s="294"/>
      <c r="B18" s="295"/>
      <c r="C18" s="295"/>
      <c r="D18" s="53"/>
      <c r="E18" s="54"/>
      <c r="F18" s="173"/>
      <c r="K18" s="222" t="s">
        <v>157</v>
      </c>
      <c r="L18" s="204">
        <f>IFERROR(SUM(B7+SUM(D11:D16)-SUM(D25)),0)</f>
        <v>0</v>
      </c>
      <c r="N18" s="177"/>
    </row>
    <row r="19" spans="1:14" s="34" customFormat="1" x14ac:dyDescent="0.25">
      <c r="A19" s="296" t="s">
        <v>153</v>
      </c>
      <c r="B19" s="297"/>
      <c r="C19" s="297"/>
      <c r="D19" s="207">
        <f>SUM(C11:C17)</f>
        <v>0</v>
      </c>
      <c r="E19" s="49" t="s">
        <v>154</v>
      </c>
      <c r="F19" s="173"/>
      <c r="K19" s="222" t="s">
        <v>148</v>
      </c>
      <c r="L19" s="34">
        <f>($B$31+$L$17)*$D$7</f>
        <v>66</v>
      </c>
      <c r="N19" s="177"/>
    </row>
    <row r="20" spans="1:14" s="34" customFormat="1" x14ac:dyDescent="0.25">
      <c r="A20" s="296" t="s">
        <v>21</v>
      </c>
      <c r="B20" s="297"/>
      <c r="C20" s="297"/>
      <c r="D20" s="183">
        <f>IFERROR(SUM($D$11:$D$17)/SUM($C$11:$C$17),0)</f>
        <v>0</v>
      </c>
      <c r="E20" s="49" t="s">
        <v>20</v>
      </c>
      <c r="F20" s="173"/>
      <c r="K20" s="222" t="s">
        <v>160</v>
      </c>
      <c r="L20" s="217">
        <f>D5+24</f>
        <v>48</v>
      </c>
      <c r="N20" s="177"/>
    </row>
    <row r="21" spans="1:14" s="34" customFormat="1" ht="13.8" thickBot="1" x14ac:dyDescent="0.3">
      <c r="A21" s="292" t="s">
        <v>155</v>
      </c>
      <c r="B21" s="293"/>
      <c r="C21" s="293"/>
      <c r="D21" s="184">
        <f>IFERROR(SUM(B7+SUM($D$11:$D$17))/SUM(B6+SUM($C$11:$C$17)),0)</f>
        <v>0</v>
      </c>
      <c r="E21" s="51" t="s">
        <v>100</v>
      </c>
      <c r="F21" s="173"/>
      <c r="K21" s="222" t="s">
        <v>161</v>
      </c>
      <c r="L21" s="66">
        <f>IF(OR($L$20=24,$L$20=48),2.75,IF(OR($L$20=72,$L$20=96),3,"Check"))</f>
        <v>2.75</v>
      </c>
      <c r="N21" s="177"/>
    </row>
    <row r="22" spans="1:14" s="34" customFormat="1" ht="13.8" thickBot="1" x14ac:dyDescent="0.3">
      <c r="A22" s="36"/>
      <c r="B22" s="36"/>
      <c r="C22" s="36"/>
      <c r="D22" s="185"/>
      <c r="E22" s="36"/>
      <c r="F22" s="173"/>
      <c r="K22" s="222" t="s">
        <v>159</v>
      </c>
      <c r="L22" s="34">
        <f>($B$37+$L$17)*L21</f>
        <v>132</v>
      </c>
      <c r="N22" s="177"/>
    </row>
    <row r="23" spans="1:14" s="34" customFormat="1" ht="18" x14ac:dyDescent="0.35">
      <c r="A23" s="37" t="s">
        <v>102</v>
      </c>
      <c r="B23" s="38"/>
      <c r="C23" s="38"/>
      <c r="D23" s="38"/>
      <c r="E23" s="39"/>
      <c r="F23" s="173"/>
      <c r="N23" s="177"/>
    </row>
    <row r="24" spans="1:14" s="34" customFormat="1" x14ac:dyDescent="0.25">
      <c r="A24" s="40" t="s">
        <v>17</v>
      </c>
      <c r="B24" s="187" t="s">
        <v>18</v>
      </c>
      <c r="C24" s="188" t="s">
        <v>19</v>
      </c>
      <c r="D24" s="188" t="s">
        <v>12</v>
      </c>
      <c r="E24" s="47" t="s">
        <v>48</v>
      </c>
      <c r="F24" s="173"/>
      <c r="N24" s="177"/>
    </row>
    <row r="25" spans="1:14" s="34" customFormat="1" x14ac:dyDescent="0.25">
      <c r="A25" s="58"/>
      <c r="B25" s="31"/>
      <c r="C25" s="31"/>
      <c r="D25" s="189" t="str">
        <f>IFERROR(C25*INDEX('Data Points'!$B$2:$B$16,MATCH(B25,'Data Points'!$A$2:$A$16,0)),"")</f>
        <v/>
      </c>
      <c r="E25" s="85"/>
      <c r="F25" s="173"/>
      <c r="N25" s="177"/>
    </row>
    <row r="26" spans="1:14" s="34" customFormat="1" x14ac:dyDescent="0.25">
      <c r="A26" s="294"/>
      <c r="B26" s="295"/>
      <c r="C26" s="295"/>
      <c r="D26" s="53"/>
      <c r="E26" s="54"/>
      <c r="F26" s="173"/>
      <c r="N26" s="177"/>
    </row>
    <row r="27" spans="1:14" s="34" customFormat="1" ht="13.8" thickBot="1" x14ac:dyDescent="0.3">
      <c r="A27" s="292" t="s">
        <v>155</v>
      </c>
      <c r="B27" s="293"/>
      <c r="C27" s="293"/>
      <c r="D27" s="184">
        <f>IFERROR(L18/L17,0)</f>
        <v>0</v>
      </c>
      <c r="E27" s="55" t="s">
        <v>101</v>
      </c>
      <c r="F27" s="173"/>
      <c r="N27" s="177"/>
    </row>
    <row r="28" spans="1:14" ht="13.8" thickBot="1" x14ac:dyDescent="0.3">
      <c r="A28" s="56"/>
      <c r="B28" s="56"/>
      <c r="C28" s="56"/>
      <c r="D28" s="56"/>
      <c r="E28" s="56"/>
      <c r="F28" s="173"/>
      <c r="G28" s="22"/>
      <c r="I28" s="34"/>
      <c r="J28" s="34"/>
      <c r="K28" s="34"/>
      <c r="L28" s="34"/>
      <c r="N28" s="177"/>
    </row>
    <row r="29" spans="1:14" ht="17.399999999999999" x14ac:dyDescent="0.3">
      <c r="A29" s="139" t="s">
        <v>144</v>
      </c>
      <c r="B29" s="68"/>
      <c r="C29" s="68"/>
      <c r="D29" s="68"/>
      <c r="E29" s="163"/>
      <c r="F29" s="172"/>
      <c r="G29" s="22"/>
      <c r="I29" s="34"/>
      <c r="N29" s="177"/>
    </row>
    <row r="30" spans="1:14" x14ac:dyDescent="0.25">
      <c r="A30" s="202" t="s">
        <v>125</v>
      </c>
      <c r="B30" s="42"/>
      <c r="C30" s="42"/>
      <c r="D30" s="42"/>
      <c r="E30" s="201"/>
      <c r="F30" s="172"/>
      <c r="G30" s="22"/>
      <c r="I30" s="34"/>
      <c r="N30" s="177"/>
    </row>
    <row r="31" spans="1:14" x14ac:dyDescent="0.25">
      <c r="A31" s="205" t="s">
        <v>126</v>
      </c>
      <c r="B31" s="175">
        <f>$D$5-$B$5</f>
        <v>24</v>
      </c>
      <c r="C31" s="188" t="s">
        <v>127</v>
      </c>
      <c r="D31" s="175">
        <f>D5</f>
        <v>24</v>
      </c>
      <c r="E31" s="47" t="s">
        <v>128</v>
      </c>
      <c r="F31" s="172"/>
      <c r="G31" s="22"/>
      <c r="I31" s="34"/>
      <c r="N31" s="177"/>
    </row>
    <row r="32" spans="1:14" x14ac:dyDescent="0.25">
      <c r="A32" s="171"/>
      <c r="B32" s="21"/>
      <c r="C32" s="21"/>
      <c r="D32" s="21"/>
      <c r="E32" s="168"/>
      <c r="F32" s="172"/>
      <c r="G32" s="22"/>
      <c r="I32" s="34"/>
      <c r="N32" s="177"/>
    </row>
    <row r="33" spans="1:14" x14ac:dyDescent="0.25">
      <c r="A33" s="221" t="s">
        <v>162</v>
      </c>
      <c r="B33" s="56"/>
      <c r="C33" s="56"/>
      <c r="D33" s="56"/>
      <c r="E33" s="170"/>
      <c r="F33" s="172"/>
      <c r="G33" s="22"/>
      <c r="I33" s="34"/>
      <c r="N33" s="177"/>
    </row>
    <row r="34" spans="1:14" x14ac:dyDescent="0.25">
      <c r="A34" s="218" t="s">
        <v>146</v>
      </c>
      <c r="B34" s="186">
        <f>IF($D$19&lt;$B$31,($L$19-$L$18)/$B$31,"n/a")</f>
        <v>2.75</v>
      </c>
      <c r="C34" s="219" t="s">
        <v>147</v>
      </c>
      <c r="D34" s="175">
        <f>IF($D$19&lt;$B$31,$B$31-$D$19,"n/a")</f>
        <v>24</v>
      </c>
      <c r="E34" s="220" t="s">
        <v>164</v>
      </c>
      <c r="F34" s="172"/>
      <c r="G34" s="22"/>
      <c r="I34" s="34"/>
      <c r="N34" s="177"/>
    </row>
    <row r="35" spans="1:14" s="215" customFormat="1" x14ac:dyDescent="0.25">
      <c r="A35" s="208"/>
      <c r="B35" s="209"/>
      <c r="C35" s="210"/>
      <c r="D35" s="211"/>
      <c r="E35" s="212"/>
      <c r="F35" s="213"/>
      <c r="G35" s="156"/>
      <c r="H35" s="156"/>
      <c r="I35" s="34"/>
      <c r="J35" s="36"/>
      <c r="K35" s="36"/>
      <c r="L35" s="36"/>
      <c r="N35" s="177"/>
    </row>
    <row r="36" spans="1:14" s="215" customFormat="1" x14ac:dyDescent="0.25">
      <c r="A36" s="216" t="s">
        <v>166</v>
      </c>
      <c r="B36" s="209"/>
      <c r="C36" s="210"/>
      <c r="D36" s="211"/>
      <c r="E36" s="212"/>
      <c r="F36" s="213"/>
      <c r="G36" s="156"/>
      <c r="H36" s="156"/>
      <c r="I36" s="214"/>
      <c r="N36" s="177"/>
    </row>
    <row r="37" spans="1:14" x14ac:dyDescent="0.25">
      <c r="A37" s="218" t="s">
        <v>175</v>
      </c>
      <c r="B37" s="175">
        <f>$B$31+24-D19</f>
        <v>48</v>
      </c>
      <c r="C37" s="219" t="s">
        <v>176</v>
      </c>
      <c r="D37" s="175">
        <f>$D$31+24</f>
        <v>48</v>
      </c>
      <c r="E37" s="220" t="s">
        <v>128</v>
      </c>
      <c r="F37" s="172"/>
      <c r="G37" s="22"/>
      <c r="I37" s="214"/>
      <c r="J37" s="215"/>
      <c r="K37" s="215"/>
      <c r="L37" s="215"/>
      <c r="N37" s="177"/>
    </row>
    <row r="38" spans="1:14" x14ac:dyDescent="0.25">
      <c r="A38" s="171"/>
      <c r="B38" s="21"/>
      <c r="C38" s="21"/>
      <c r="D38" s="21"/>
      <c r="E38" s="168"/>
      <c r="F38" s="172"/>
      <c r="G38" s="22"/>
      <c r="I38" s="34"/>
      <c r="N38" s="177"/>
    </row>
    <row r="39" spans="1:14" x14ac:dyDescent="0.25">
      <c r="A39" s="221" t="s">
        <v>162</v>
      </c>
      <c r="B39" s="56"/>
      <c r="C39" s="56"/>
      <c r="D39" s="56"/>
      <c r="E39" s="170"/>
      <c r="F39" s="172"/>
      <c r="G39" s="22"/>
      <c r="I39" s="34"/>
      <c r="N39" s="177"/>
    </row>
    <row r="40" spans="1:14" x14ac:dyDescent="0.25">
      <c r="A40" s="218" t="s">
        <v>146</v>
      </c>
      <c r="B40" s="186">
        <f>IF($D$19&lt;$B$37,($L$22-$L$18)/$B$37,"n/a")</f>
        <v>2.75</v>
      </c>
      <c r="C40" s="219" t="s">
        <v>147</v>
      </c>
      <c r="D40" s="175">
        <f>$B$37</f>
        <v>48</v>
      </c>
      <c r="E40" s="220" t="s">
        <v>163</v>
      </c>
      <c r="F40" s="172"/>
      <c r="G40" s="22"/>
      <c r="I40" s="34"/>
      <c r="N40" s="177"/>
    </row>
    <row r="41" spans="1:14" s="34" customFormat="1" ht="13.8" thickBot="1" x14ac:dyDescent="0.3">
      <c r="A41" s="198"/>
      <c r="B41" s="199"/>
      <c r="C41" s="199"/>
      <c r="D41" s="199"/>
      <c r="E41" s="200"/>
      <c r="F41" s="173"/>
      <c r="J41" s="36"/>
      <c r="K41" s="36"/>
      <c r="L41" s="36"/>
      <c r="N41" s="177"/>
    </row>
    <row r="42" spans="1:14" ht="13.8" thickBot="1" x14ac:dyDescent="0.3">
      <c r="A42" s="56"/>
      <c r="B42" s="56"/>
      <c r="C42" s="56"/>
      <c r="D42" s="56"/>
      <c r="E42" s="56"/>
      <c r="F42" s="173"/>
      <c r="G42" s="22"/>
      <c r="I42" s="34"/>
      <c r="J42" s="34"/>
      <c r="K42" s="34"/>
      <c r="L42" s="34"/>
      <c r="N42" s="177"/>
    </row>
    <row r="43" spans="1:14" ht="17.399999999999999" x14ac:dyDescent="0.3">
      <c r="A43" s="37" t="s">
        <v>145</v>
      </c>
      <c r="B43" s="38"/>
      <c r="C43" s="38"/>
      <c r="D43" s="38"/>
      <c r="E43" s="39"/>
      <c r="F43" s="173"/>
      <c r="G43" s="22"/>
      <c r="I43" s="34"/>
      <c r="N43" s="177"/>
    </row>
    <row r="44" spans="1:14" x14ac:dyDescent="0.25">
      <c r="A44" s="40" t="s">
        <v>4</v>
      </c>
      <c r="B44" s="20"/>
      <c r="C44" s="21" t="s">
        <v>39</v>
      </c>
      <c r="D44" s="21"/>
      <c r="E44" s="168"/>
      <c r="F44" s="173"/>
      <c r="G44" s="22"/>
      <c r="I44" s="34"/>
      <c r="N44" s="177"/>
    </row>
    <row r="45" spans="1:14" x14ac:dyDescent="0.25">
      <c r="A45" s="169"/>
      <c r="B45" s="21"/>
      <c r="C45" s="21"/>
      <c r="D45" s="21"/>
      <c r="E45" s="168"/>
      <c r="F45" s="172"/>
      <c r="G45" s="22"/>
      <c r="I45" s="34"/>
      <c r="N45" s="177"/>
    </row>
    <row r="46" spans="1:14" x14ac:dyDescent="0.25">
      <c r="A46" s="221" t="s">
        <v>162</v>
      </c>
      <c r="B46" s="56"/>
      <c r="C46" s="56"/>
      <c r="D46" s="56"/>
      <c r="E46" s="170"/>
      <c r="F46" s="172"/>
      <c r="G46" s="22"/>
      <c r="I46" s="34"/>
      <c r="N46" s="177"/>
    </row>
    <row r="47" spans="1:14" x14ac:dyDescent="0.25">
      <c r="A47" s="218" t="s">
        <v>61</v>
      </c>
      <c r="B47" s="255" t="str">
        <f>IFERROR(IF(D19&lt;B31,IF(B44&lt;=D7,"XXX",IF((D7*L17-L18)/SUM(B44-D7)&lt;=0,"XXX",(D7*L17-L18)/SUM(B44-D7))),"n/a"),0)</f>
        <v>XXX</v>
      </c>
      <c r="C47" s="46" t="s">
        <v>60</v>
      </c>
      <c r="D47" s="186">
        <f>B44</f>
        <v>0</v>
      </c>
      <c r="E47" s="220" t="s">
        <v>165</v>
      </c>
      <c r="F47" s="172"/>
      <c r="G47" s="22"/>
      <c r="I47" s="34"/>
      <c r="N47" s="177"/>
    </row>
    <row r="48" spans="1:14" s="34" customFormat="1" ht="13.8" thickBot="1" x14ac:dyDescent="0.3">
      <c r="A48" s="198" t="s">
        <v>143</v>
      </c>
      <c r="B48" s="199"/>
      <c r="C48" s="199"/>
      <c r="D48" s="199"/>
      <c r="E48" s="200"/>
      <c r="F48" s="173"/>
      <c r="J48" s="36"/>
      <c r="K48" s="36"/>
      <c r="L48" s="36"/>
      <c r="N48" s="177"/>
    </row>
    <row r="49" spans="1:14" x14ac:dyDescent="0.25">
      <c r="A49" s="56"/>
      <c r="B49" s="56"/>
      <c r="C49" s="56"/>
      <c r="D49" s="56"/>
      <c r="E49" s="56"/>
      <c r="F49" s="172"/>
      <c r="I49" s="34"/>
      <c r="J49" s="34"/>
      <c r="K49" s="34"/>
      <c r="L49" s="34"/>
      <c r="N49" s="177"/>
    </row>
    <row r="50" spans="1:14" ht="18" customHeight="1" x14ac:dyDescent="0.25">
      <c r="A50" s="176" t="s">
        <v>10</v>
      </c>
      <c r="B50" s="176"/>
      <c r="C50" s="176"/>
      <c r="D50" s="176"/>
      <c r="E50" s="176"/>
      <c r="F50" s="172"/>
      <c r="N50" s="177"/>
    </row>
    <row r="51" spans="1:14" ht="86.25" customHeight="1" x14ac:dyDescent="0.25">
      <c r="A51" s="300"/>
      <c r="B51" s="301"/>
      <c r="C51" s="301"/>
      <c r="D51" s="301"/>
      <c r="E51" s="302"/>
      <c r="F51" s="172"/>
      <c r="N51" s="177"/>
    </row>
    <row r="52" spans="1:14" x14ac:dyDescent="0.25">
      <c r="A52" s="56"/>
      <c r="B52" s="56"/>
      <c r="C52" s="56"/>
      <c r="D52" s="56"/>
      <c r="E52" s="56"/>
      <c r="F52" s="172"/>
      <c r="I52" s="34"/>
      <c r="J52" s="34"/>
      <c r="K52" s="34"/>
      <c r="L52" s="34"/>
      <c r="N52" s="177"/>
    </row>
    <row r="53" spans="1:14" ht="12.75" customHeight="1" x14ac:dyDescent="0.25">
      <c r="A53" s="303" t="s">
        <v>149</v>
      </c>
      <c r="B53" s="303"/>
      <c r="C53" s="303"/>
      <c r="D53" s="303"/>
      <c r="E53" s="303"/>
      <c r="F53" s="172"/>
    </row>
    <row r="54" spans="1:14" ht="12.75" customHeight="1" x14ac:dyDescent="0.25">
      <c r="A54" s="303"/>
      <c r="B54" s="303"/>
      <c r="C54" s="303"/>
      <c r="D54" s="303"/>
      <c r="E54" s="303"/>
      <c r="F54" s="172"/>
    </row>
    <row r="55" spans="1:14" ht="12.75" customHeight="1" x14ac:dyDescent="0.25">
      <c r="A55" s="303"/>
      <c r="B55" s="303"/>
      <c r="C55" s="303"/>
      <c r="D55" s="303"/>
      <c r="E55" s="303"/>
    </row>
    <row r="56" spans="1:14" ht="12.75" customHeight="1" x14ac:dyDescent="0.25">
      <c r="A56" s="303"/>
      <c r="B56" s="303"/>
      <c r="C56" s="303"/>
      <c r="D56" s="303"/>
      <c r="E56" s="303"/>
    </row>
    <row r="57" spans="1:14" ht="12.75" customHeight="1" x14ac:dyDescent="0.25">
      <c r="A57" s="303"/>
      <c r="B57" s="303"/>
      <c r="C57" s="303"/>
      <c r="D57" s="303"/>
      <c r="E57" s="303"/>
    </row>
    <row r="58" spans="1:14" x14ac:dyDescent="0.25">
      <c r="A58" s="303"/>
      <c r="B58" s="303"/>
      <c r="C58" s="303"/>
      <c r="D58" s="303"/>
      <c r="E58" s="303"/>
    </row>
    <row r="59" spans="1:14" x14ac:dyDescent="0.25">
      <c r="A59" s="303"/>
      <c r="B59" s="303"/>
      <c r="C59" s="303"/>
      <c r="D59" s="303"/>
      <c r="E59" s="303"/>
    </row>
    <row r="60" spans="1:14" x14ac:dyDescent="0.25">
      <c r="A60" s="303"/>
      <c r="B60" s="303"/>
      <c r="C60" s="303"/>
      <c r="D60" s="303"/>
      <c r="E60" s="303"/>
    </row>
    <row r="61" spans="1:14" x14ac:dyDescent="0.25">
      <c r="A61" s="303"/>
      <c r="B61" s="303"/>
      <c r="C61" s="303"/>
      <c r="D61" s="303"/>
      <c r="E61" s="303"/>
    </row>
    <row r="62" spans="1:14" x14ac:dyDescent="0.25">
      <c r="A62" s="303"/>
      <c r="B62" s="303"/>
      <c r="C62" s="303"/>
      <c r="D62" s="303"/>
      <c r="E62" s="303"/>
    </row>
    <row r="63" spans="1:14" x14ac:dyDescent="0.25">
      <c r="A63" s="303"/>
      <c r="B63" s="303"/>
      <c r="C63" s="303"/>
      <c r="D63" s="303"/>
      <c r="E63" s="303"/>
    </row>
    <row r="64" spans="1:14" x14ac:dyDescent="0.25">
      <c r="A64" s="303"/>
      <c r="B64" s="303"/>
      <c r="C64" s="303"/>
      <c r="D64" s="303"/>
      <c r="E64" s="303"/>
    </row>
    <row r="65" spans="1:9" x14ac:dyDescent="0.25">
      <c r="A65" s="303"/>
      <c r="B65" s="303"/>
      <c r="C65" s="303"/>
      <c r="D65" s="303"/>
      <c r="E65" s="303"/>
    </row>
    <row r="66" spans="1:9" x14ac:dyDescent="0.25">
      <c r="A66" s="303"/>
      <c r="B66" s="303"/>
      <c r="C66" s="303"/>
      <c r="D66" s="303"/>
      <c r="E66" s="303"/>
      <c r="H66" s="36"/>
    </row>
    <row r="67" spans="1:9" x14ac:dyDescent="0.25">
      <c r="A67" s="303"/>
      <c r="B67" s="303"/>
      <c r="C67" s="303"/>
      <c r="D67" s="303"/>
      <c r="E67" s="303"/>
      <c r="H67" s="36"/>
      <c r="I67" s="36"/>
    </row>
    <row r="68" spans="1:9" x14ac:dyDescent="0.25">
      <c r="A68" s="303"/>
      <c r="B68" s="303"/>
      <c r="C68" s="303"/>
      <c r="D68" s="303"/>
      <c r="E68" s="303"/>
      <c r="H68" s="36"/>
      <c r="I68" s="36"/>
    </row>
    <row r="69" spans="1:9" x14ac:dyDescent="0.25">
      <c r="I69" s="36"/>
    </row>
  </sheetData>
  <sheetProtection sheet="1" objects="1" scenarios="1"/>
  <mergeCells count="9">
    <mergeCell ref="A51:E51"/>
    <mergeCell ref="A53:E68"/>
    <mergeCell ref="A18:C18"/>
    <mergeCell ref="A19:C19"/>
    <mergeCell ref="A17:B17"/>
    <mergeCell ref="A20:C20"/>
    <mergeCell ref="A21:C21"/>
    <mergeCell ref="A26:C26"/>
    <mergeCell ref="A27:C27"/>
  </mergeCells>
  <conditionalFormatting sqref="D6">
    <cfRule type="cellIs" dxfId="42" priority="23" operator="greaterThan">
      <formula>4</formula>
    </cfRule>
  </conditionalFormatting>
  <conditionalFormatting sqref="D26">
    <cfRule type="cellIs" dxfId="41" priority="21" operator="greaterThan">
      <formula>4</formula>
    </cfRule>
  </conditionalFormatting>
  <conditionalFormatting sqref="D27">
    <cfRule type="cellIs" dxfId="40" priority="22" operator="greaterThan">
      <formula>4</formula>
    </cfRule>
  </conditionalFormatting>
  <conditionalFormatting sqref="D21">
    <cfRule type="cellIs" dxfId="39" priority="19" operator="greaterThan">
      <formula>4</formula>
    </cfRule>
  </conditionalFormatting>
  <conditionalFormatting sqref="D20">
    <cfRule type="cellIs" dxfId="38" priority="20" operator="greaterThan">
      <formula>4</formula>
    </cfRule>
  </conditionalFormatting>
  <conditionalFormatting sqref="B47">
    <cfRule type="cellIs" dxfId="37" priority="18" operator="equal">
      <formula>"XXX"</formula>
    </cfRule>
  </conditionalFormatting>
  <conditionalFormatting sqref="B31">
    <cfRule type="cellIs" dxfId="36" priority="17" operator="equal">
      <formula>"XXX"</formula>
    </cfRule>
  </conditionalFormatting>
  <conditionalFormatting sqref="D5">
    <cfRule type="cellIs" dxfId="35" priority="16" operator="equal">
      <formula>"Inelig--120 hrs"</formula>
    </cfRule>
  </conditionalFormatting>
  <conditionalFormatting sqref="B34:B36">
    <cfRule type="cellIs" dxfId="34" priority="12" operator="equal">
      <formula>"n/a"</formula>
    </cfRule>
    <cfRule type="cellIs" dxfId="33" priority="13" operator="greaterThan">
      <formula>4</formula>
    </cfRule>
    <cfRule type="cellIs" dxfId="32" priority="15" operator="equal">
      <formula>"XXX"</formula>
    </cfRule>
  </conditionalFormatting>
  <conditionalFormatting sqref="D34:D36">
    <cfRule type="cellIs" dxfId="31" priority="14" operator="equal">
      <formula>"XXX"</formula>
    </cfRule>
  </conditionalFormatting>
  <conditionalFormatting sqref="D18">
    <cfRule type="cellIs" dxfId="30" priority="11" operator="greaterThan">
      <formula>4</formula>
    </cfRule>
  </conditionalFormatting>
  <conditionalFormatting sqref="B40">
    <cfRule type="cellIs" dxfId="29" priority="3" operator="equal">
      <formula>"n/a"</formula>
    </cfRule>
    <cfRule type="cellIs" dxfId="28" priority="4" operator="greaterThan">
      <formula>4</formula>
    </cfRule>
    <cfRule type="cellIs" dxfId="27" priority="5" operator="equal">
      <formula>"XXX"</formula>
    </cfRule>
  </conditionalFormatting>
  <conditionalFormatting sqref="D40">
    <cfRule type="cellIs" dxfId="26" priority="2" operator="equal">
      <formula>"XXX"</formula>
    </cfRule>
  </conditionalFormatting>
  <conditionalFormatting sqref="B37">
    <cfRule type="cellIs" dxfId="25" priority="1" operator="equal">
      <formula>"XXX"</formula>
    </cfRule>
  </conditionalFormatting>
  <pageMargins left="0.25" right="0.25" top="0.75" bottom="0.75" header="0.3" footer="0.3"/>
  <pageSetup orientation="portrait" r:id="rId1"/>
  <headerFooter>
    <oddHeader>&amp;C&amp;"Arial,Bold"&amp;14Lottery Scholarship: Hours Needed to Reach GPA</oddHeader>
    <oddFooter>&amp;CPLEASE NOTE: All of the above calculations are **tentative**.  This is an unofficial calculator, used only as a general guidance tool.  The Registrar will calculate your actual lottery hours &amp; GPA, which might differ from the estimates provided here.</oddFooter>
  </headerFooter>
  <rowBreaks count="1" manualBreakCount="1">
    <brk id="48"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Don't enter grades of P, W, N, or I here since it will confuse the GPA calculator; leave this and the hours spaces blank. You can note this info in the Notes section instead." xr:uid="{00000000-0002-0000-0400-000000000000}">
          <x14:formula1>
            <xm:f>'Data Points'!$A$2:$A$13</xm:f>
          </x14:formula1>
          <xm:sqref>B11:B16 B25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7030A0"/>
  </sheetPr>
  <dimension ref="A1:V56"/>
  <sheetViews>
    <sheetView workbookViewId="0">
      <selection activeCell="A5" sqref="A5:A6"/>
    </sheetView>
  </sheetViews>
  <sheetFormatPr defaultColWidth="9.109375" defaultRowHeight="13.2" x14ac:dyDescent="0.25"/>
  <cols>
    <col min="1" max="1" width="20.88671875" style="34" customWidth="1"/>
    <col min="2" max="2" width="6.5546875" style="34" bestFit="1" customWidth="1"/>
    <col min="3" max="3" width="6.109375" style="34" bestFit="1" customWidth="1"/>
    <col min="4" max="4" width="5.5546875" style="34" bestFit="1" customWidth="1"/>
    <col min="5" max="5" width="26.44140625" style="34" customWidth="1"/>
    <col min="6" max="6" width="6.6640625" style="34" customWidth="1"/>
    <col min="7" max="7" width="5.109375" style="66" bestFit="1" customWidth="1"/>
    <col min="8" max="8" width="5" style="34" bestFit="1" customWidth="1"/>
    <col min="9" max="9" width="5.6640625" style="34" customWidth="1"/>
    <col min="10" max="10" width="5.109375" style="66" bestFit="1" customWidth="1"/>
    <col min="11" max="11" width="5" style="34" bestFit="1" customWidth="1"/>
    <col min="12" max="12" width="5.6640625" style="34" customWidth="1"/>
    <col min="13" max="21" width="9.109375" style="34"/>
    <col min="22" max="22" width="59.6640625" style="34" customWidth="1"/>
    <col min="23" max="16384" width="9.109375" style="34"/>
  </cols>
  <sheetData>
    <row r="1" spans="1:22" s="12" customFormat="1" ht="12.75" customHeight="1" x14ac:dyDescent="0.25">
      <c r="A1" s="15" t="s">
        <v>6</v>
      </c>
      <c r="B1" s="306" t="str">
        <f>IF('Start Here!'!B2:D2&lt;&gt;"",'Start Here!'!B2:D2,"")</f>
        <v/>
      </c>
      <c r="C1" s="307"/>
      <c r="D1" s="308"/>
      <c r="E1" s="82" t="s">
        <v>8</v>
      </c>
      <c r="F1" s="309" t="str">
        <f>IF('Start Here!'!G2&lt;&gt;"",'Start Here!'!G2,"")</f>
        <v/>
      </c>
      <c r="G1" s="310"/>
      <c r="H1" s="310"/>
      <c r="I1" s="311"/>
      <c r="K1" s="22"/>
      <c r="L1" s="22"/>
      <c r="M1" s="22"/>
      <c r="O1" s="34"/>
      <c r="V1" s="34"/>
    </row>
    <row r="2" spans="1:22" s="12" customFormat="1" x14ac:dyDescent="0.25">
      <c r="A2" s="2" t="s">
        <v>7</v>
      </c>
      <c r="B2" s="306" t="str">
        <f>IF('Start Here!'!B3:D3&lt;&gt;"",'Start Here!'!B3:D3,"")</f>
        <v/>
      </c>
      <c r="C2" s="307"/>
      <c r="D2" s="308"/>
      <c r="E2" s="83" t="s">
        <v>9</v>
      </c>
      <c r="F2" s="309" t="str">
        <f>IF('Start Here!'!G3&lt;&gt;"",'Start Here!'!G3,"")</f>
        <v/>
      </c>
      <c r="G2" s="310"/>
      <c r="H2" s="310"/>
      <c r="I2" s="311"/>
      <c r="K2" s="22"/>
      <c r="L2" s="22"/>
      <c r="M2" s="22"/>
      <c r="O2" s="35"/>
      <c r="V2" s="35"/>
    </row>
    <row r="3" spans="1:22" s="12" customFormat="1" ht="13.8" thickBot="1" x14ac:dyDescent="0.3">
      <c r="G3" s="36"/>
      <c r="K3" s="23"/>
      <c r="L3" s="23"/>
      <c r="M3" s="23"/>
      <c r="O3" s="80"/>
      <c r="V3" s="80" t="s">
        <v>41</v>
      </c>
    </row>
    <row r="4" spans="1:22" s="12" customFormat="1" ht="18" customHeight="1" x14ac:dyDescent="0.3">
      <c r="A4" s="139" t="s">
        <v>35</v>
      </c>
      <c r="B4" s="5"/>
      <c r="C4" s="137"/>
      <c r="D4" s="5"/>
      <c r="E4" s="138"/>
      <c r="G4" s="312" t="s">
        <v>53</v>
      </c>
      <c r="H4" s="313"/>
      <c r="I4" s="314"/>
      <c r="J4" s="23"/>
      <c r="K4" s="23"/>
      <c r="O4" s="34"/>
      <c r="V4" s="271"/>
    </row>
    <row r="5" spans="1:22" s="12" customFormat="1" x14ac:dyDescent="0.25">
      <c r="A5" s="259" t="str">
        <f>CONCATENATE("Current "&amp;'Start Here!'!$G$9&amp;" Qhrs")</f>
        <v>Current Overall Qhrs</v>
      </c>
      <c r="B5" s="134" t="str">
        <f>IF('Start Here!'!B6&lt;&gt;"",'Start Here!'!B6,"")</f>
        <v/>
      </c>
      <c r="D5" s="135">
        <f>'Start Here!'!C6</f>
        <v>0</v>
      </c>
      <c r="E5" s="140" t="s">
        <v>35</v>
      </c>
      <c r="G5" s="315"/>
      <c r="H5" s="316"/>
      <c r="I5" s="317"/>
      <c r="J5" s="23"/>
      <c r="K5" s="34"/>
      <c r="O5" s="34"/>
      <c r="V5" s="271"/>
    </row>
    <row r="6" spans="1:22" s="12" customFormat="1" ht="13.8" thickBot="1" x14ac:dyDescent="0.3">
      <c r="A6" s="260" t="str">
        <f>CONCATENATE("Current "&amp;'Start Here!'!$G$9&amp;" Qpts")</f>
        <v>Current Overall Qpts</v>
      </c>
      <c r="B6" s="136" t="str">
        <f>IF('Start Here!'!B7&lt;&gt;"",'Start Here!'!B7,"")</f>
        <v/>
      </c>
      <c r="C6" s="14"/>
      <c r="D6" s="132"/>
      <c r="E6" s="133"/>
      <c r="G6" s="126"/>
      <c r="H6" s="127" t="s">
        <v>79</v>
      </c>
      <c r="I6" s="128"/>
      <c r="J6" s="23"/>
      <c r="K6" s="34"/>
      <c r="O6" s="34"/>
      <c r="V6" s="271"/>
    </row>
    <row r="7" spans="1:22" ht="13.5" customHeight="1" thickBot="1" x14ac:dyDescent="0.3">
      <c r="A7" s="36"/>
      <c r="B7" s="36"/>
      <c r="C7" s="36"/>
      <c r="D7" s="36"/>
      <c r="E7" s="36"/>
      <c r="F7" s="36"/>
      <c r="G7" s="36"/>
      <c r="H7" s="36"/>
      <c r="I7" s="36"/>
      <c r="J7" s="36"/>
      <c r="K7" s="36"/>
      <c r="V7" s="271"/>
    </row>
    <row r="8" spans="1:22" ht="13.8" x14ac:dyDescent="0.25">
      <c r="A8" s="88" t="s">
        <v>44</v>
      </c>
      <c r="B8" s="318"/>
      <c r="C8" s="318"/>
      <c r="D8" s="318"/>
      <c r="E8" s="318"/>
      <c r="F8" s="319"/>
      <c r="G8" s="68"/>
      <c r="H8" s="68"/>
      <c r="I8" s="69"/>
      <c r="J8" s="68"/>
      <c r="K8" s="68"/>
      <c r="L8" s="70"/>
    </row>
    <row r="9" spans="1:22" x14ac:dyDescent="0.25">
      <c r="A9" s="71" t="s">
        <v>17</v>
      </c>
      <c r="B9" s="61" t="s">
        <v>18</v>
      </c>
      <c r="C9" s="62" t="s">
        <v>19</v>
      </c>
      <c r="D9" s="63" t="s">
        <v>49</v>
      </c>
      <c r="E9" s="61" t="s">
        <v>48</v>
      </c>
      <c r="F9" s="62" t="s">
        <v>12</v>
      </c>
      <c r="G9" s="36"/>
      <c r="H9" s="36"/>
      <c r="I9" s="72"/>
      <c r="J9" s="36"/>
      <c r="K9" s="36"/>
      <c r="L9" s="73"/>
    </row>
    <row r="10" spans="1:22" x14ac:dyDescent="0.25">
      <c r="A10" s="116"/>
      <c r="B10" s="31"/>
      <c r="C10" s="31"/>
      <c r="D10" s="31"/>
      <c r="E10" s="60"/>
      <c r="F10" s="122" t="str">
        <f>IFERROR(C10*INDEX('Data Points'!$B$2:$B$16,MATCH(B10,'Data Points'!$A$2:$A$16,0)),"")</f>
        <v/>
      </c>
      <c r="G10" s="36"/>
      <c r="H10" s="36"/>
      <c r="I10" s="72"/>
      <c r="J10" s="36"/>
      <c r="K10" s="36"/>
      <c r="L10" s="73"/>
    </row>
    <row r="11" spans="1:22" x14ac:dyDescent="0.25">
      <c r="A11" s="116"/>
      <c r="B11" s="31"/>
      <c r="C11" s="31"/>
      <c r="D11" s="31"/>
      <c r="E11" s="60"/>
      <c r="F11" s="122" t="str">
        <f>IFERROR(C11*INDEX('Data Points'!$B$2:$B$16,MATCH(B11,'Data Points'!$A$2:$A$16,0)),"")</f>
        <v/>
      </c>
      <c r="G11" s="36"/>
      <c r="H11" s="36"/>
      <c r="I11" s="72"/>
      <c r="J11" s="36"/>
      <c r="K11" s="36"/>
      <c r="L11" s="73"/>
    </row>
    <row r="12" spans="1:22" x14ac:dyDescent="0.25">
      <c r="A12" s="116"/>
      <c r="B12" s="31"/>
      <c r="C12" s="31"/>
      <c r="D12" s="31"/>
      <c r="E12" s="60"/>
      <c r="F12" s="122" t="str">
        <f>IFERROR(C12*INDEX('Data Points'!$B$2:$B$16,MATCH(B12,'Data Points'!$A$2:$A$16,0)),"")</f>
        <v/>
      </c>
      <c r="G12" s="36"/>
      <c r="H12" s="36"/>
      <c r="I12" s="72"/>
      <c r="J12" s="36"/>
      <c r="K12" s="36"/>
      <c r="L12" s="73"/>
    </row>
    <row r="13" spans="1:22" x14ac:dyDescent="0.25">
      <c r="A13" s="116"/>
      <c r="B13" s="31"/>
      <c r="C13" s="31"/>
      <c r="D13" s="31"/>
      <c r="E13" s="60"/>
      <c r="F13" s="122" t="str">
        <f>IFERROR(C13*INDEX('Data Points'!$B$2:$B$16,MATCH(B13,'Data Points'!$A$2:$A$16,0)),"")</f>
        <v/>
      </c>
      <c r="G13" s="320" t="s">
        <v>59</v>
      </c>
      <c r="H13" s="321"/>
      <c r="I13" s="321"/>
      <c r="J13" s="321" t="s">
        <v>58</v>
      </c>
      <c r="K13" s="321"/>
      <c r="L13" s="322"/>
    </row>
    <row r="14" spans="1:22" x14ac:dyDescent="0.25">
      <c r="A14" s="116"/>
      <c r="B14" s="31"/>
      <c r="C14" s="31"/>
      <c r="D14" s="31"/>
      <c r="E14" s="60"/>
      <c r="F14" s="122" t="str">
        <f>IFERROR(C14*INDEX('Data Points'!$B$2:$B$16,MATCH(B14,'Data Points'!$A$2:$A$16,0)),"")</f>
        <v/>
      </c>
      <c r="G14" s="64" t="s">
        <v>42</v>
      </c>
      <c r="H14" s="64" t="s">
        <v>12</v>
      </c>
      <c r="I14" s="67" t="s">
        <v>43</v>
      </c>
      <c r="J14" s="65" t="s">
        <v>42</v>
      </c>
      <c r="K14" s="64" t="s">
        <v>12</v>
      </c>
      <c r="L14" s="74" t="s">
        <v>43</v>
      </c>
    </row>
    <row r="15" spans="1:22" ht="13.8" thickBot="1" x14ac:dyDescent="0.3">
      <c r="A15" s="117"/>
      <c r="B15" s="125"/>
      <c r="C15" s="125"/>
      <c r="D15" s="125"/>
      <c r="E15" s="75"/>
      <c r="F15" s="130" t="str">
        <f>IFERROR(C15*INDEX('Data Points'!$B$2:$B$16,MATCH(B15,'Data Points'!$A$2:$A$16,0)),"")</f>
        <v/>
      </c>
      <c r="G15" s="76">
        <f>IF(D10&lt;&gt;"X",C10,0)+IF(D11&lt;&gt;"X",C11,0)+IF(D12&lt;&gt;"X",C12,0)+IF(D13&lt;&gt;"X",C13,0)+IF(D14&lt;&gt;"X",C14,0)+IF(D15&lt;&gt;"X",C15,0)</f>
        <v>0</v>
      </c>
      <c r="H15" s="76">
        <f>IF(D10&lt;&gt;"X",MAX(F10,0),0)+IF(D11&lt;&gt;"X",MAX(F11,0),0)+IF(D12&lt;&gt;"X",MAX(F12,0),0)+IF(D13&lt;&gt;"X",MAX(F13,0),0)+IF(D14&lt;&gt;"X",MAX(F14,0),0)+IF(D15&lt;&gt;"X",MAX(F15,0),0)</f>
        <v>0</v>
      </c>
      <c r="I15" s="77" t="str">
        <f>IFERROR(H15/G15,"")</f>
        <v/>
      </c>
      <c r="J15" s="78" t="e">
        <f>G15+IF(H6="yes",B5,0)</f>
        <v>#VALUE!</v>
      </c>
      <c r="K15" s="76" t="e">
        <f>H15+IF(H6="yes",B6,0)</f>
        <v>#VALUE!</v>
      </c>
      <c r="L15" s="79" t="str">
        <f>IFERROR(K15/J15,"")</f>
        <v/>
      </c>
    </row>
    <row r="16" spans="1:22" ht="13.8" thickBot="1" x14ac:dyDescent="0.3">
      <c r="A16" s="118"/>
      <c r="B16" s="118"/>
      <c r="C16" s="118"/>
      <c r="D16" s="118"/>
      <c r="E16" s="118"/>
      <c r="F16" s="118"/>
      <c r="G16" s="34"/>
      <c r="H16" s="66"/>
      <c r="J16" s="34"/>
      <c r="K16" s="66"/>
    </row>
    <row r="17" spans="1:22" ht="13.8" x14ac:dyDescent="0.25">
      <c r="A17" s="119" t="s">
        <v>45</v>
      </c>
      <c r="B17" s="318"/>
      <c r="C17" s="318"/>
      <c r="D17" s="318"/>
      <c r="E17" s="318"/>
      <c r="F17" s="319"/>
      <c r="G17" s="68"/>
      <c r="H17" s="68"/>
      <c r="I17" s="69"/>
      <c r="J17" s="68"/>
      <c r="K17" s="68"/>
      <c r="L17" s="70"/>
    </row>
    <row r="18" spans="1:22" x14ac:dyDescent="0.25">
      <c r="A18" s="120" t="s">
        <v>17</v>
      </c>
      <c r="B18" s="121" t="s">
        <v>18</v>
      </c>
      <c r="C18" s="44" t="s">
        <v>19</v>
      </c>
      <c r="D18" s="44" t="s">
        <v>49</v>
      </c>
      <c r="E18" s="121" t="s">
        <v>48</v>
      </c>
      <c r="F18" s="44" t="s">
        <v>12</v>
      </c>
      <c r="G18" s="36"/>
      <c r="H18" s="36"/>
      <c r="I18" s="72"/>
      <c r="J18" s="36"/>
      <c r="K18" s="36"/>
      <c r="L18" s="73"/>
    </row>
    <row r="19" spans="1:22" x14ac:dyDescent="0.25">
      <c r="A19" s="116"/>
      <c r="B19" s="31"/>
      <c r="C19" s="31"/>
      <c r="D19" s="31"/>
      <c r="E19" s="60"/>
      <c r="F19" s="122" t="str">
        <f>IFERROR(C19*INDEX('Data Points'!$B$2:$B$16,MATCH(B19,'Data Points'!$A$2:$A$16,0)),"")</f>
        <v/>
      </c>
      <c r="G19" s="36"/>
      <c r="H19" s="36"/>
      <c r="I19" s="72"/>
      <c r="J19" s="36"/>
      <c r="K19" s="36"/>
      <c r="L19" s="73"/>
    </row>
    <row r="20" spans="1:22" x14ac:dyDescent="0.25">
      <c r="A20" s="116"/>
      <c r="B20" s="31"/>
      <c r="C20" s="31"/>
      <c r="D20" s="31"/>
      <c r="E20" s="60"/>
      <c r="F20" s="122" t="str">
        <f>IFERROR(C20*INDEX('Data Points'!$B$2:$B$16,MATCH(B20,'Data Points'!$A$2:$A$16,0)),"")</f>
        <v/>
      </c>
      <c r="G20" s="36"/>
      <c r="H20" s="36"/>
      <c r="I20" s="72"/>
      <c r="J20" s="36"/>
      <c r="K20" s="36"/>
      <c r="L20" s="73"/>
    </row>
    <row r="21" spans="1:22" x14ac:dyDescent="0.25">
      <c r="A21" s="116"/>
      <c r="B21" s="31"/>
      <c r="C21" s="31"/>
      <c r="D21" s="31"/>
      <c r="E21" s="60"/>
      <c r="F21" s="122" t="str">
        <f>IFERROR(C21*INDEX('Data Points'!$B$2:$B$16,MATCH(B21,'Data Points'!$A$2:$A$16,0)),"")</f>
        <v/>
      </c>
      <c r="G21" s="36"/>
      <c r="H21" s="36"/>
      <c r="I21" s="72"/>
      <c r="J21" s="36"/>
      <c r="K21" s="36"/>
      <c r="L21" s="73"/>
    </row>
    <row r="22" spans="1:22" x14ac:dyDescent="0.25">
      <c r="A22" s="116"/>
      <c r="B22" s="31"/>
      <c r="C22" s="31"/>
      <c r="D22" s="31"/>
      <c r="E22" s="60"/>
      <c r="F22" s="122" t="str">
        <f>IFERROR(C22*INDEX('Data Points'!$B$2:$B$16,MATCH(B22,'Data Points'!$A$2:$A$16,0)),"")</f>
        <v/>
      </c>
      <c r="G22" s="320" t="s">
        <v>59</v>
      </c>
      <c r="H22" s="321"/>
      <c r="I22" s="321"/>
      <c r="J22" s="321" t="s">
        <v>58</v>
      </c>
      <c r="K22" s="321"/>
      <c r="L22" s="322"/>
    </row>
    <row r="23" spans="1:22" x14ac:dyDescent="0.25">
      <c r="A23" s="116"/>
      <c r="B23" s="31"/>
      <c r="C23" s="31"/>
      <c r="D23" s="31"/>
      <c r="E23" s="60"/>
      <c r="F23" s="122" t="str">
        <f>IFERROR(C23*INDEX('Data Points'!$B$2:$B$16,MATCH(B23,'Data Points'!$A$2:$A$16,0)),"")</f>
        <v/>
      </c>
      <c r="G23" s="65" t="s">
        <v>42</v>
      </c>
      <c r="H23" s="64" t="s">
        <v>12</v>
      </c>
      <c r="I23" s="67" t="s">
        <v>43</v>
      </c>
      <c r="J23" s="65" t="s">
        <v>42</v>
      </c>
      <c r="K23" s="64" t="s">
        <v>12</v>
      </c>
      <c r="L23" s="74" t="s">
        <v>43</v>
      </c>
    </row>
    <row r="24" spans="1:22" ht="13.8" thickBot="1" x14ac:dyDescent="0.3">
      <c r="A24" s="117"/>
      <c r="B24" s="125"/>
      <c r="C24" s="125"/>
      <c r="D24" s="125"/>
      <c r="E24" s="75"/>
      <c r="F24" s="130" t="str">
        <f>IFERROR(C24*INDEX('Data Points'!$B$2:$B$16,MATCH(B24,'Data Points'!$A$2:$A$16,0)),"")</f>
        <v/>
      </c>
      <c r="G24" s="76">
        <f>IF(D19&lt;&gt;"X",C19,0)+IF(D20&lt;&gt;"X",C20,0)+IF(D21&lt;&gt;"X",C21,0)+IF(D22&lt;&gt;"X",C22,0)+IF(D23&lt;&gt;"X",C23,0)+IF(D24&lt;&gt;"X",C24,0)</f>
        <v>0</v>
      </c>
      <c r="H24" s="76">
        <f>IF(D19&lt;&gt;"X",MAX(F19,0),0)+IF(D20&lt;&gt;"X",MAX(F20,0),0)+IF(D21&lt;&gt;"X",MAX(F21,0),0)+IF(D22&lt;&gt;"X",MAX(F22,0),0)+IF(D23&lt;&gt;"X",MAX(F23,0),0)+IF(D24&lt;&gt;"X",MAX(F24,0),0)</f>
        <v>0</v>
      </c>
      <c r="I24" s="77" t="str">
        <f>IFERROR(H24/G24,"")</f>
        <v/>
      </c>
      <c r="J24" s="78" t="e">
        <f>J15+G24</f>
        <v>#VALUE!</v>
      </c>
      <c r="K24" s="76" t="e">
        <f>K15+H24</f>
        <v>#VALUE!</v>
      </c>
      <c r="L24" s="79" t="str">
        <f>IFERROR(K24/J24,"")</f>
        <v/>
      </c>
    </row>
    <row r="25" spans="1:22" ht="13.8" thickBot="1" x14ac:dyDescent="0.3">
      <c r="A25" s="118"/>
      <c r="B25" s="118"/>
      <c r="C25" s="118"/>
      <c r="D25" s="118"/>
      <c r="E25" s="118"/>
      <c r="F25" s="118"/>
      <c r="G25" s="34"/>
      <c r="H25" s="66"/>
      <c r="J25" s="34"/>
      <c r="K25" s="66"/>
    </row>
    <row r="26" spans="1:22" ht="13.8" x14ac:dyDescent="0.25">
      <c r="A26" s="119" t="s">
        <v>46</v>
      </c>
      <c r="B26" s="318"/>
      <c r="C26" s="318"/>
      <c r="D26" s="318"/>
      <c r="E26" s="318"/>
      <c r="F26" s="319"/>
      <c r="G26" s="68"/>
      <c r="H26" s="68"/>
      <c r="I26" s="69"/>
      <c r="J26" s="68"/>
      <c r="K26" s="68"/>
      <c r="L26" s="70"/>
      <c r="V26" s="36"/>
    </row>
    <row r="27" spans="1:22" x14ac:dyDescent="0.25">
      <c r="A27" s="120" t="s">
        <v>17</v>
      </c>
      <c r="B27" s="121" t="s">
        <v>18</v>
      </c>
      <c r="C27" s="44" t="s">
        <v>19</v>
      </c>
      <c r="D27" s="44" t="s">
        <v>49</v>
      </c>
      <c r="E27" s="121" t="s">
        <v>48</v>
      </c>
      <c r="F27" s="44" t="s">
        <v>12</v>
      </c>
      <c r="G27" s="36"/>
      <c r="H27" s="36"/>
      <c r="I27" s="72"/>
      <c r="J27" s="36"/>
      <c r="K27" s="36"/>
      <c r="L27" s="73"/>
    </row>
    <row r="28" spans="1:22" x14ac:dyDescent="0.25">
      <c r="A28" s="116"/>
      <c r="B28" s="31"/>
      <c r="C28" s="31"/>
      <c r="D28" s="31"/>
      <c r="E28" s="60"/>
      <c r="F28" s="122" t="str">
        <f>IFERROR(C28*INDEX('Data Points'!$B$2:$B$16,MATCH(B28,'Data Points'!$A$2:$A$16,0)),"")</f>
        <v/>
      </c>
      <c r="G28" s="36"/>
      <c r="H28" s="36"/>
      <c r="I28" s="72"/>
      <c r="J28" s="36"/>
      <c r="K28" s="36"/>
      <c r="L28" s="73"/>
    </row>
    <row r="29" spans="1:22" x14ac:dyDescent="0.25">
      <c r="A29" s="116"/>
      <c r="B29" s="31"/>
      <c r="C29" s="31"/>
      <c r="D29" s="31"/>
      <c r="E29" s="60"/>
      <c r="F29" s="122" t="str">
        <f>IFERROR(C29*INDEX('Data Points'!$B$2:$B$16,MATCH(B29,'Data Points'!$A$2:$A$16,0)),"")</f>
        <v/>
      </c>
      <c r="G29" s="36"/>
      <c r="H29" s="36"/>
      <c r="I29" s="72"/>
      <c r="J29" s="36"/>
      <c r="K29" s="36"/>
      <c r="L29" s="73"/>
    </row>
    <row r="30" spans="1:22" x14ac:dyDescent="0.25">
      <c r="A30" s="116"/>
      <c r="B30" s="31"/>
      <c r="C30" s="31"/>
      <c r="D30" s="31"/>
      <c r="E30" s="60"/>
      <c r="F30" s="122" t="str">
        <f>IFERROR(C30*INDEX('Data Points'!$B$2:$B$16,MATCH(B30,'Data Points'!$A$2:$A$16,0)),"")</f>
        <v/>
      </c>
      <c r="G30" s="36"/>
      <c r="H30" s="36"/>
      <c r="I30" s="72"/>
      <c r="J30" s="36"/>
      <c r="K30" s="36"/>
      <c r="L30" s="73"/>
    </row>
    <row r="31" spans="1:22" s="36" customFormat="1" x14ac:dyDescent="0.25">
      <c r="A31" s="116"/>
      <c r="B31" s="31"/>
      <c r="C31" s="31"/>
      <c r="D31" s="31"/>
      <c r="E31" s="60"/>
      <c r="F31" s="122" t="str">
        <f>IFERROR(C31*INDEX('Data Points'!$B$2:$B$16,MATCH(B31,'Data Points'!$A$2:$A$16,0)),"")</f>
        <v/>
      </c>
      <c r="G31" s="320" t="s">
        <v>59</v>
      </c>
      <c r="H31" s="321"/>
      <c r="I31" s="321"/>
      <c r="J31" s="321" t="s">
        <v>58</v>
      </c>
      <c r="K31" s="321"/>
      <c r="L31" s="322"/>
      <c r="V31" s="34"/>
    </row>
    <row r="32" spans="1:22" x14ac:dyDescent="0.25">
      <c r="A32" s="116"/>
      <c r="B32" s="31"/>
      <c r="C32" s="31"/>
      <c r="D32" s="31"/>
      <c r="E32" s="60"/>
      <c r="F32" s="122" t="str">
        <f>IFERROR(C32*INDEX('Data Points'!$B$2:$B$16,MATCH(B32,'Data Points'!$A$2:$A$16,0)),"")</f>
        <v/>
      </c>
      <c r="G32" s="65" t="s">
        <v>42</v>
      </c>
      <c r="H32" s="64" t="s">
        <v>12</v>
      </c>
      <c r="I32" s="67" t="s">
        <v>43</v>
      </c>
      <c r="J32" s="65" t="s">
        <v>42</v>
      </c>
      <c r="K32" s="64" t="s">
        <v>12</v>
      </c>
      <c r="L32" s="74" t="s">
        <v>43</v>
      </c>
    </row>
    <row r="33" spans="1:15" ht="13.8" thickBot="1" x14ac:dyDescent="0.3">
      <c r="A33" s="117"/>
      <c r="B33" s="125"/>
      <c r="C33" s="125"/>
      <c r="D33" s="125"/>
      <c r="E33" s="75"/>
      <c r="F33" s="130" t="str">
        <f>IFERROR(C33*INDEX('Data Points'!$B$2:$B$16,MATCH(B33,'Data Points'!$A$2:$A$16,0)),"")</f>
        <v/>
      </c>
      <c r="G33" s="76">
        <f>IF(D28&lt;&gt;"X",C28,0)+IF(D29&lt;&gt;"X",C29,0)+IF(D30&lt;&gt;"X",C30,0)+IF(D31&lt;&gt;"X",C31,0)+IF(D32&lt;&gt;"X",C32,0)+IF(D33&lt;&gt;"X",C33,0)</f>
        <v>0</v>
      </c>
      <c r="H33" s="76">
        <f>IF(D28&lt;&gt;"X",MAX(F28,0),0)+IF(D29&lt;&gt;"X",MAX(F29,0),0)+IF(D30&lt;&gt;"X",MAX(F30,0),0)+IF(D31&lt;&gt;"X",MAX(F31,0),0)+IF(D32&lt;&gt;"X",MAX(F32,0),0)+IF(D33&lt;&gt;"X",MAX(F33,0),0)</f>
        <v>0</v>
      </c>
      <c r="I33" s="77" t="str">
        <f>IFERROR(H33/G33,"")</f>
        <v/>
      </c>
      <c r="J33" s="78" t="e">
        <f>J24+G33</f>
        <v>#VALUE!</v>
      </c>
      <c r="K33" s="76" t="e">
        <f>K24+H33</f>
        <v>#VALUE!</v>
      </c>
      <c r="L33" s="79" t="str">
        <f>IFERROR(K33/J33,"")</f>
        <v/>
      </c>
    </row>
    <row r="34" spans="1:15" ht="13.8" thickBot="1" x14ac:dyDescent="0.3">
      <c r="A34" s="118"/>
      <c r="B34" s="118"/>
      <c r="C34" s="118"/>
      <c r="D34" s="118"/>
      <c r="E34" s="118"/>
      <c r="F34" s="118"/>
      <c r="G34" s="34"/>
      <c r="H34" s="66"/>
      <c r="J34" s="34"/>
      <c r="K34" s="66"/>
    </row>
    <row r="35" spans="1:15" ht="13.8" x14ac:dyDescent="0.25">
      <c r="A35" s="119" t="s">
        <v>47</v>
      </c>
      <c r="B35" s="318"/>
      <c r="C35" s="318"/>
      <c r="D35" s="318"/>
      <c r="E35" s="318"/>
      <c r="F35" s="319"/>
      <c r="G35" s="68"/>
      <c r="H35" s="68"/>
      <c r="I35" s="69"/>
      <c r="J35" s="68"/>
      <c r="K35" s="68"/>
      <c r="L35" s="70"/>
    </row>
    <row r="36" spans="1:15" x14ac:dyDescent="0.25">
      <c r="A36" s="120" t="s">
        <v>17</v>
      </c>
      <c r="B36" s="121" t="s">
        <v>18</v>
      </c>
      <c r="C36" s="44" t="s">
        <v>19</v>
      </c>
      <c r="D36" s="44" t="s">
        <v>49</v>
      </c>
      <c r="E36" s="121" t="s">
        <v>48</v>
      </c>
      <c r="F36" s="44" t="s">
        <v>12</v>
      </c>
      <c r="G36" s="36"/>
      <c r="H36" s="36"/>
      <c r="I36" s="72"/>
      <c r="J36" s="36"/>
      <c r="K36" s="36"/>
      <c r="L36" s="73"/>
    </row>
    <row r="37" spans="1:15" x14ac:dyDescent="0.25">
      <c r="A37" s="116"/>
      <c r="B37" s="31"/>
      <c r="C37" s="31"/>
      <c r="D37" s="31"/>
      <c r="E37" s="60"/>
      <c r="F37" s="122" t="str">
        <f>IFERROR(C37*INDEX('Data Points'!$B$2:$B$16,MATCH(B37,'Data Points'!$A$2:$A$16,0)),"")</f>
        <v/>
      </c>
      <c r="G37" s="36"/>
      <c r="H37" s="36"/>
      <c r="I37" s="72"/>
      <c r="J37" s="36"/>
      <c r="K37" s="36"/>
      <c r="L37" s="73"/>
    </row>
    <row r="38" spans="1:15" x14ac:dyDescent="0.25">
      <c r="A38" s="116"/>
      <c r="B38" s="31"/>
      <c r="C38" s="31"/>
      <c r="D38" s="31"/>
      <c r="E38" s="60"/>
      <c r="F38" s="122" t="str">
        <f>IFERROR(C38*INDEX('Data Points'!$B$2:$B$16,MATCH(B38,'Data Points'!$A$2:$A$16,0)),"")</f>
        <v/>
      </c>
      <c r="G38" s="36"/>
      <c r="H38" s="36"/>
      <c r="I38" s="72"/>
      <c r="J38" s="36"/>
      <c r="K38" s="36"/>
      <c r="L38" s="73"/>
    </row>
    <row r="39" spans="1:15" x14ac:dyDescent="0.25">
      <c r="A39" s="116"/>
      <c r="B39" s="31"/>
      <c r="C39" s="31"/>
      <c r="D39" s="31"/>
      <c r="E39" s="60"/>
      <c r="F39" s="122" t="str">
        <f>IFERROR(C39*INDEX('Data Points'!$B$2:$B$16,MATCH(B39,'Data Points'!$A$2:$A$16,0)),"")</f>
        <v/>
      </c>
      <c r="G39" s="36"/>
      <c r="H39" s="36"/>
      <c r="I39" s="72"/>
      <c r="J39" s="36"/>
      <c r="K39" s="36"/>
      <c r="L39" s="73"/>
    </row>
    <row r="40" spans="1:15" x14ac:dyDescent="0.25">
      <c r="A40" s="116"/>
      <c r="B40" s="31"/>
      <c r="C40" s="31"/>
      <c r="D40" s="31"/>
      <c r="E40" s="60"/>
      <c r="F40" s="122" t="str">
        <f>IFERROR(C40*INDEX('Data Points'!$B$2:$B$16,MATCH(B40,'Data Points'!$A$2:$A$16,0)),"")</f>
        <v/>
      </c>
      <c r="G40" s="320" t="s">
        <v>59</v>
      </c>
      <c r="H40" s="321"/>
      <c r="I40" s="321"/>
      <c r="J40" s="321" t="s">
        <v>58</v>
      </c>
      <c r="K40" s="321"/>
      <c r="L40" s="322"/>
    </row>
    <row r="41" spans="1:15" x14ac:dyDescent="0.25">
      <c r="A41" s="116"/>
      <c r="B41" s="31"/>
      <c r="C41" s="31"/>
      <c r="D41" s="31"/>
      <c r="E41" s="60"/>
      <c r="F41" s="122" t="str">
        <f>IFERROR(C41*INDEX('Data Points'!$B$2:$B$16,MATCH(B41,'Data Points'!$A$2:$A$16,0)),"")</f>
        <v/>
      </c>
      <c r="G41" s="65" t="s">
        <v>42</v>
      </c>
      <c r="H41" s="64" t="s">
        <v>12</v>
      </c>
      <c r="I41" s="67" t="s">
        <v>43</v>
      </c>
      <c r="J41" s="65" t="s">
        <v>42</v>
      </c>
      <c r="K41" s="64" t="s">
        <v>12</v>
      </c>
      <c r="L41" s="74" t="s">
        <v>43</v>
      </c>
    </row>
    <row r="42" spans="1:15" ht="13.8" thickBot="1" x14ac:dyDescent="0.3">
      <c r="A42" s="117"/>
      <c r="B42" s="125"/>
      <c r="C42" s="125"/>
      <c r="D42" s="125"/>
      <c r="E42" s="75"/>
      <c r="F42" s="130" t="str">
        <f>IFERROR(C42*INDEX('Data Points'!$B$2:$B$16,MATCH(B42,'Data Points'!$A$2:$A$16,0)),"")</f>
        <v/>
      </c>
      <c r="G42" s="76">
        <f>IF(D37&lt;&gt;"X",C37,0)+IF(D38&lt;&gt;"X",C38,0)+IF(D39&lt;&gt;"X",C39,0)+IF(D40&lt;&gt;"X",C40,0)+IF(D41&lt;&gt;"X",C41,0)+IF(D42&lt;&gt;"X",C42,0)</f>
        <v>0</v>
      </c>
      <c r="H42" s="76">
        <f>IF(D37&lt;&gt;"X",MAX(F37,0),0)+IF(D38&lt;&gt;"X",MAX(F38,0),0)+IF(D39&lt;&gt;"X",MAX(F39,0),0)+IF(D40&lt;&gt;"X",MAX(F40,0),0)+IF(D41&lt;&gt;"X",MAX(F41,0),0)+IF(D42&lt;&gt;"X",MAX(F42,0),0)</f>
        <v>0</v>
      </c>
      <c r="I42" s="77" t="str">
        <f>IFERROR(H42/G42,"")</f>
        <v/>
      </c>
      <c r="J42" s="78" t="e">
        <f>J33+G42</f>
        <v>#VALUE!</v>
      </c>
      <c r="K42" s="76" t="e">
        <f>K33+H42</f>
        <v>#VALUE!</v>
      </c>
      <c r="L42" s="79" t="str">
        <f>IFERROR(K42/J42,"")</f>
        <v/>
      </c>
    </row>
    <row r="43" spans="1:15" ht="13.8" thickBot="1" x14ac:dyDescent="0.3">
      <c r="A43" s="118"/>
      <c r="B43" s="118"/>
      <c r="C43" s="118"/>
      <c r="D43" s="118"/>
      <c r="E43" s="118"/>
      <c r="F43" s="118"/>
      <c r="G43" s="34"/>
      <c r="H43" s="66"/>
      <c r="J43" s="34"/>
      <c r="K43" s="66"/>
    </row>
    <row r="44" spans="1:15" ht="17.399999999999999" x14ac:dyDescent="0.3">
      <c r="A44" s="37" t="s">
        <v>72</v>
      </c>
      <c r="B44" s="38"/>
      <c r="C44" s="38"/>
      <c r="D44" s="38"/>
      <c r="E44" s="39"/>
      <c r="G44" s="36"/>
      <c r="H44" s="36"/>
      <c r="J44" s="36"/>
      <c r="K44" s="36"/>
      <c r="O44" s="22"/>
    </row>
    <row r="45" spans="1:15" x14ac:dyDescent="0.25">
      <c r="A45" s="40" t="s">
        <v>17</v>
      </c>
      <c r="B45" s="45" t="s">
        <v>18</v>
      </c>
      <c r="C45" s="46" t="s">
        <v>19</v>
      </c>
      <c r="D45" s="46" t="s">
        <v>12</v>
      </c>
      <c r="E45" s="47" t="s">
        <v>48</v>
      </c>
      <c r="G45" s="36"/>
      <c r="H45" s="36"/>
      <c r="J45" s="36"/>
      <c r="K45" s="36"/>
    </row>
    <row r="46" spans="1:15" x14ac:dyDescent="0.25">
      <c r="A46" s="116"/>
      <c r="B46" s="31"/>
      <c r="C46" s="31"/>
      <c r="D46" s="48" t="str">
        <f>IFERROR(C46*INDEX('Data Points'!$B$2:$B$16,MATCH(B46,'Data Points'!$A$2:$A$16,0)),"")</f>
        <v/>
      </c>
      <c r="E46" s="85"/>
      <c r="G46" s="36"/>
      <c r="H46" s="36"/>
      <c r="J46" s="36"/>
      <c r="K46" s="36"/>
    </row>
    <row r="47" spans="1:15" x14ac:dyDescent="0.25">
      <c r="A47" s="116"/>
      <c r="B47" s="31"/>
      <c r="C47" s="31"/>
      <c r="D47" s="48" t="str">
        <f>IFERROR(C47*INDEX('Data Points'!$B$2:$B$16,MATCH(B47,'Data Points'!$A$2:$A$16,0)),"")</f>
        <v/>
      </c>
      <c r="E47" s="85"/>
    </row>
    <row r="48" spans="1:15" x14ac:dyDescent="0.25">
      <c r="A48" s="116"/>
      <c r="B48" s="31"/>
      <c r="C48" s="31"/>
      <c r="D48" s="48" t="str">
        <f>IFERROR(C48*INDEX('Data Points'!$B$2:$B$16,MATCH(B48,'Data Points'!$A$2:$A$16,0)),"")</f>
        <v/>
      </c>
      <c r="E48" s="85"/>
    </row>
    <row r="49" spans="1:17" x14ac:dyDescent="0.25">
      <c r="A49" s="116"/>
      <c r="B49" s="31"/>
      <c r="C49" s="31"/>
      <c r="D49" s="48" t="str">
        <f>IFERROR(C49*INDEX('Data Points'!$B$2:$B$16,MATCH(B49,'Data Points'!$A$2:$A$16,0)),"")</f>
        <v/>
      </c>
      <c r="E49" s="85"/>
    </row>
    <row r="50" spans="1:17" x14ac:dyDescent="0.25">
      <c r="A50" s="116"/>
      <c r="B50" s="31"/>
      <c r="C50" s="31"/>
      <c r="D50" s="48" t="str">
        <f>IFERROR(C50*INDEX('Data Points'!$B$2:$B$16,MATCH(B50,'Data Points'!$A$2:$A$16,0)),"")</f>
        <v/>
      </c>
      <c r="E50" s="85"/>
    </row>
    <row r="51" spans="1:17" ht="13.8" thickBot="1" x14ac:dyDescent="0.3">
      <c r="A51" s="57"/>
      <c r="B51" s="125"/>
      <c r="C51" s="31"/>
      <c r="D51" s="48" t="str">
        <f>IFERROR(C51*INDEX('Data Points'!$B$2:$B$16,MATCH(B51,'Data Points'!$A$2:$A$16,0)),"")</f>
        <v/>
      </c>
      <c r="E51" s="85"/>
    </row>
    <row r="52" spans="1:17" x14ac:dyDescent="0.25">
      <c r="A52" s="294"/>
      <c r="B52" s="295"/>
      <c r="C52" s="295"/>
      <c r="D52" s="53"/>
      <c r="E52" s="54"/>
      <c r="P52" s="107" t="s">
        <v>63</v>
      </c>
      <c r="Q52" s="35">
        <f>IFERROR(SUM(J42-SUM(C46:C51)),0)</f>
        <v>0</v>
      </c>
    </row>
    <row r="53" spans="1:17" ht="13.8" thickBot="1" x14ac:dyDescent="0.3">
      <c r="A53" s="292" t="s">
        <v>33</v>
      </c>
      <c r="B53" s="293"/>
      <c r="C53" s="293"/>
      <c r="D53" s="50">
        <f>IFERROR(Q53/Q52,0)</f>
        <v>0</v>
      </c>
      <c r="E53" s="55" t="s">
        <v>36</v>
      </c>
      <c r="P53" s="107" t="s">
        <v>62</v>
      </c>
      <c r="Q53" s="108">
        <f>IFERROR(SUM(K42-SUM(D46:D51)),0)</f>
        <v>0</v>
      </c>
    </row>
    <row r="54" spans="1:17" x14ac:dyDescent="0.25">
      <c r="G54" s="36"/>
      <c r="H54" s="36"/>
      <c r="J54" s="36"/>
      <c r="K54" s="36"/>
      <c r="O54" s="22"/>
    </row>
    <row r="55" spans="1:17" x14ac:dyDescent="0.25">
      <c r="G55" s="36"/>
      <c r="H55" s="36"/>
      <c r="J55" s="36"/>
      <c r="K55" s="36"/>
    </row>
    <row r="56" spans="1:17" x14ac:dyDescent="0.25">
      <c r="G56" s="36"/>
      <c r="H56" s="36"/>
      <c r="J56" s="36"/>
      <c r="K56" s="36"/>
    </row>
  </sheetData>
  <sheetProtection sheet="1" objects="1" scenarios="1"/>
  <mergeCells count="20">
    <mergeCell ref="A52:C52"/>
    <mergeCell ref="A53:C53"/>
    <mergeCell ref="B26:F26"/>
    <mergeCell ref="G31:I31"/>
    <mergeCell ref="J31:L31"/>
    <mergeCell ref="B35:F35"/>
    <mergeCell ref="G40:I40"/>
    <mergeCell ref="J40:L40"/>
    <mergeCell ref="B8:F8"/>
    <mergeCell ref="G13:I13"/>
    <mergeCell ref="J13:L13"/>
    <mergeCell ref="B17:F17"/>
    <mergeCell ref="G22:I22"/>
    <mergeCell ref="J22:L22"/>
    <mergeCell ref="V4:V7"/>
    <mergeCell ref="B1:D1"/>
    <mergeCell ref="F1:I1"/>
    <mergeCell ref="B2:D2"/>
    <mergeCell ref="F2:I2"/>
    <mergeCell ref="G4:I5"/>
  </mergeCells>
  <conditionalFormatting sqref="D5:D6">
    <cfRule type="cellIs" dxfId="24" priority="3" operator="greaterThan">
      <formula>4</formula>
    </cfRule>
  </conditionalFormatting>
  <conditionalFormatting sqref="D52">
    <cfRule type="cellIs" dxfId="23" priority="1" operator="greaterThan">
      <formula>4</formula>
    </cfRule>
  </conditionalFormatting>
  <conditionalFormatting sqref="D53">
    <cfRule type="cellIs" dxfId="22" priority="2" operator="greaterThan">
      <formula>4</formula>
    </cfRule>
  </conditionalFormatting>
  <dataValidations count="1">
    <dataValidation type="list" allowBlank="1" showInputMessage="1" showErrorMessage="1" sqref="H6" xr:uid="{00000000-0002-0000-0500-000000000000}">
      <formula1>"Yes, No"</formula1>
    </dataValidation>
  </dataValidations>
  <pageMargins left="0.25" right="0.25" top="0.5" bottom="0.5" header="0.3" footer="0.3"/>
  <pageSetup orientation="portrait" verticalDpi="30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Don't enter grades of P, W, N, or I here since it will confuse the GPA calculator; leave this and the hours spaces blank. You can note this info in the Notes section instead." xr:uid="{00000000-0002-0000-0500-000001000000}">
          <x14:formula1>
            <xm:f>'Data Points'!$A$2:$A$13</xm:f>
          </x14:formula1>
          <xm:sqref>B10:B15 B19:B24 B28:B33 B37:B42 B46:B51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P46"/>
  <sheetViews>
    <sheetView workbookViewId="0">
      <selection activeCell="A5" sqref="A5"/>
    </sheetView>
  </sheetViews>
  <sheetFormatPr defaultColWidth="9.109375" defaultRowHeight="13.2" x14ac:dyDescent="0.25"/>
  <cols>
    <col min="1" max="1" width="22.109375" style="34" customWidth="1"/>
    <col min="2" max="2" width="8.33203125" style="34" customWidth="1"/>
    <col min="3" max="3" width="6.109375" style="34" bestFit="1" customWidth="1"/>
    <col min="4" max="4" width="9.6640625" style="34" customWidth="1"/>
    <col min="5" max="5" width="24.6640625" style="34" bestFit="1" customWidth="1"/>
    <col min="6" max="6" width="3.33203125" style="34" customWidth="1"/>
    <col min="7" max="7" width="29.6640625" style="34" customWidth="1"/>
    <col min="8" max="8" width="9.109375" style="34"/>
    <col min="9" max="9" width="9.109375" style="34" customWidth="1"/>
    <col min="10" max="14" width="9.109375" style="34"/>
    <col min="15" max="15" width="33.5546875" style="34" customWidth="1"/>
    <col min="16" max="16384" width="9.109375" style="34"/>
  </cols>
  <sheetData>
    <row r="1" spans="1:16" s="12" customFormat="1" ht="12.75" customHeight="1" x14ac:dyDescent="0.25">
      <c r="A1" s="15" t="s">
        <v>6</v>
      </c>
      <c r="B1" s="266" t="str">
        <f>IF('Start Here!'!B2:D2&lt;&gt;"",'Start Here!'!B2:D2,"")</f>
        <v/>
      </c>
      <c r="C1" s="266"/>
      <c r="D1" s="266"/>
      <c r="E1" s="91" t="s">
        <v>8</v>
      </c>
      <c r="F1" s="82"/>
      <c r="G1" s="81" t="str">
        <f>IF('Start Here!'!G2&lt;&gt;"",'Start Here!'!G2,"")</f>
        <v/>
      </c>
      <c r="K1" s="22"/>
      <c r="L1" s="22"/>
      <c r="M1" s="22"/>
      <c r="O1" s="34"/>
    </row>
    <row r="2" spans="1:16" s="12" customFormat="1" x14ac:dyDescent="0.25">
      <c r="A2" s="2" t="s">
        <v>7</v>
      </c>
      <c r="B2" s="266" t="str">
        <f>IF('Start Here!'!B3:D3&lt;&gt;"",'Start Here!'!B3:D3,"")</f>
        <v/>
      </c>
      <c r="C2" s="266"/>
      <c r="D2" s="266"/>
      <c r="E2" s="92" t="s">
        <v>9</v>
      </c>
      <c r="F2" s="83"/>
      <c r="G2" s="81" t="str">
        <f>IF('Start Here!'!G3&lt;&gt;"",'Start Here!'!G3,"")</f>
        <v/>
      </c>
      <c r="K2" s="22"/>
      <c r="L2" s="22"/>
      <c r="M2" s="22"/>
      <c r="O2" s="35"/>
    </row>
    <row r="3" spans="1:16" s="12" customFormat="1" ht="13.8" thickBot="1" x14ac:dyDescent="0.3">
      <c r="G3" s="36"/>
      <c r="K3" s="23"/>
      <c r="L3" s="23"/>
      <c r="M3" s="23"/>
      <c r="O3" s="80" t="s">
        <v>41</v>
      </c>
    </row>
    <row r="4" spans="1:16" s="12" customFormat="1" ht="17.399999999999999" x14ac:dyDescent="0.3">
      <c r="A4" s="139" t="s">
        <v>35</v>
      </c>
      <c r="B4" s="5"/>
      <c r="C4" s="137"/>
      <c r="D4" s="5"/>
      <c r="E4" s="138"/>
      <c r="I4" s="23"/>
      <c r="J4" s="23"/>
      <c r="K4" s="23"/>
      <c r="O4" s="283"/>
      <c r="P4" s="285"/>
    </row>
    <row r="5" spans="1:16" s="12" customFormat="1" x14ac:dyDescent="0.25">
      <c r="A5" s="259" t="str">
        <f>CONCATENATE("Current "&amp;'Start Here!'!$G$9&amp;" Qhrs")</f>
        <v>Current Overall Qhrs</v>
      </c>
      <c r="B5" s="134" t="str">
        <f>IF('Start Here!'!B6&lt;&gt;"",'Start Here!'!B6,"")</f>
        <v/>
      </c>
      <c r="D5" s="135">
        <f>'Start Here!'!C6</f>
        <v>0</v>
      </c>
      <c r="E5" s="140" t="s">
        <v>35</v>
      </c>
      <c r="I5" s="23"/>
      <c r="J5" s="23"/>
      <c r="K5" s="34"/>
      <c r="O5" s="286"/>
      <c r="P5" s="288"/>
    </row>
    <row r="6" spans="1:16" s="12" customFormat="1" ht="13.5" customHeight="1" thickBot="1" x14ac:dyDescent="0.3">
      <c r="A6" s="260" t="str">
        <f>CONCATENATE("Current "&amp;'Start Here!'!$G$9&amp;" Qpts")</f>
        <v>Current Overall Qpts</v>
      </c>
      <c r="B6" s="136" t="str">
        <f>IF('Start Here!'!B7&lt;&gt;"",'Start Here!'!B7,"")</f>
        <v/>
      </c>
      <c r="C6" s="14"/>
      <c r="D6" s="132"/>
      <c r="E6" s="133"/>
      <c r="I6" s="23"/>
      <c r="J6" s="23"/>
      <c r="K6" s="34"/>
      <c r="O6" s="286"/>
      <c r="P6" s="288"/>
    </row>
    <row r="7" spans="1:16" ht="13.8" thickBot="1" x14ac:dyDescent="0.3">
      <c r="A7" s="42"/>
      <c r="B7" s="43"/>
      <c r="C7" s="43"/>
      <c r="D7" s="43"/>
      <c r="E7" s="43"/>
      <c r="F7" s="36"/>
      <c r="G7" s="44" t="s">
        <v>11</v>
      </c>
      <c r="O7" s="286"/>
      <c r="P7" s="288"/>
    </row>
    <row r="8" spans="1:16" ht="17.399999999999999" x14ac:dyDescent="0.3">
      <c r="A8" s="37" t="s">
        <v>81</v>
      </c>
      <c r="B8" s="38"/>
      <c r="C8" s="38"/>
      <c r="D8" s="38"/>
      <c r="E8" s="39"/>
      <c r="F8" s="36"/>
      <c r="G8" s="271"/>
      <c r="O8" s="286"/>
      <c r="P8" s="288"/>
    </row>
    <row r="9" spans="1:16" x14ac:dyDescent="0.25">
      <c r="A9" s="40" t="s">
        <v>17</v>
      </c>
      <c r="B9" s="45" t="s">
        <v>18</v>
      </c>
      <c r="C9" s="46" t="s">
        <v>19</v>
      </c>
      <c r="D9" s="46" t="s">
        <v>12</v>
      </c>
      <c r="E9" s="47" t="s">
        <v>48</v>
      </c>
      <c r="F9" s="36"/>
      <c r="G9" s="271"/>
      <c r="O9" s="286"/>
      <c r="P9" s="288"/>
    </row>
    <row r="10" spans="1:16" x14ac:dyDescent="0.25">
      <c r="A10" s="58"/>
      <c r="B10" s="31"/>
      <c r="C10" s="31"/>
      <c r="D10" s="48" t="str">
        <f>IFERROR(C10*INDEX('Data Points'!$B$2:$B$16,MATCH(B10,'Data Points'!$A$2:$A$16,0)),"")</f>
        <v/>
      </c>
      <c r="E10" s="85"/>
      <c r="F10" s="36"/>
      <c r="G10" s="271"/>
      <c r="O10" s="286"/>
      <c r="P10" s="288"/>
    </row>
    <row r="11" spans="1:16" x14ac:dyDescent="0.25">
      <c r="A11" s="58"/>
      <c r="B11" s="31"/>
      <c r="C11" s="31"/>
      <c r="D11" s="48" t="str">
        <f>IFERROR(C11*INDEX('Data Points'!$B$2:$B$16,MATCH(B11,'Data Points'!$A$2:$A$16,0)),"")</f>
        <v/>
      </c>
      <c r="E11" s="85"/>
      <c r="F11" s="36"/>
      <c r="G11" s="271"/>
      <c r="O11" s="286"/>
      <c r="P11" s="288"/>
    </row>
    <row r="12" spans="1:16" x14ac:dyDescent="0.25">
      <c r="A12" s="58"/>
      <c r="B12" s="31"/>
      <c r="C12" s="31"/>
      <c r="D12" s="48" t="str">
        <f>IFERROR(C12*INDEX('Data Points'!$B$2:$B$16,MATCH(B12,'Data Points'!$A$2:$A$16,0)),"")</f>
        <v/>
      </c>
      <c r="E12" s="85"/>
      <c r="F12" s="36"/>
      <c r="G12" s="271"/>
      <c r="O12" s="286"/>
      <c r="P12" s="288"/>
    </row>
    <row r="13" spans="1:16" x14ac:dyDescent="0.25">
      <c r="A13" s="58"/>
      <c r="B13" s="31"/>
      <c r="C13" s="31"/>
      <c r="D13" s="48" t="str">
        <f>IFERROR(C13*INDEX('Data Points'!$B$2:$B$16,MATCH(B13,'Data Points'!$A$2:$A$16,0)),"")</f>
        <v/>
      </c>
      <c r="E13" s="85"/>
      <c r="F13" s="36"/>
      <c r="G13" s="271"/>
      <c r="O13" s="286"/>
      <c r="P13" s="288"/>
    </row>
    <row r="14" spans="1:16" x14ac:dyDescent="0.25">
      <c r="A14" s="58"/>
      <c r="B14" s="31"/>
      <c r="C14" s="31"/>
      <c r="D14" s="48" t="str">
        <f>IFERROR(C14*INDEX('Data Points'!$B$2:$B$16,MATCH(B14,'Data Points'!$A$2:$A$16,0)),"")</f>
        <v/>
      </c>
      <c r="E14" s="85"/>
      <c r="F14" s="36"/>
      <c r="G14" s="271"/>
      <c r="O14" s="286"/>
      <c r="P14" s="288"/>
    </row>
    <row r="15" spans="1:16" x14ac:dyDescent="0.25">
      <c r="A15" s="58"/>
      <c r="B15" s="31"/>
      <c r="C15" s="31"/>
      <c r="D15" s="48" t="str">
        <f>IFERROR(C15*INDEX('Data Points'!$B$2:$B$16,MATCH(B15,'Data Points'!$A$2:$A$16,0)),"")</f>
        <v/>
      </c>
      <c r="E15" s="85"/>
      <c r="F15" s="36"/>
      <c r="G15" s="271"/>
      <c r="O15" s="289"/>
      <c r="P15" s="291"/>
    </row>
    <row r="16" spans="1:16" x14ac:dyDescent="0.25">
      <c r="A16" s="58"/>
      <c r="B16" s="31"/>
      <c r="C16" s="31"/>
      <c r="D16" s="48" t="str">
        <f>IFERROR(C16*INDEX('Data Points'!$B$2:$B$16,MATCH(B16,'Data Points'!$A$2:$A$16,0)),"")</f>
        <v/>
      </c>
      <c r="E16" s="85"/>
      <c r="F16" s="36"/>
      <c r="G16" s="271"/>
    </row>
    <row r="17" spans="1:16" x14ac:dyDescent="0.25">
      <c r="A17" s="58"/>
      <c r="B17" s="31"/>
      <c r="C17" s="31"/>
      <c r="D17" s="48" t="str">
        <f>IFERROR(C17*INDEX('Data Points'!$B$2:$B$16,MATCH(B17,'Data Points'!$A$2:$A$16,0)),"")</f>
        <v/>
      </c>
      <c r="E17" s="85"/>
      <c r="F17" s="36"/>
      <c r="G17" s="271"/>
      <c r="O17" s="107" t="s">
        <v>85</v>
      </c>
      <c r="P17" s="35">
        <f>IFERROR(SUM(B5-SUM(C10:C23)),0)</f>
        <v>0</v>
      </c>
    </row>
    <row r="18" spans="1:16" x14ac:dyDescent="0.25">
      <c r="A18" s="58"/>
      <c r="B18" s="31"/>
      <c r="C18" s="31"/>
      <c r="D18" s="48" t="str">
        <f>IFERROR(C18*INDEX('Data Points'!$B$2:$B$16,MATCH(B18,'Data Points'!$A$2:$A$16,0)),"")</f>
        <v/>
      </c>
      <c r="E18" s="85"/>
      <c r="F18" s="36"/>
      <c r="G18" s="271"/>
      <c r="O18" s="107" t="s">
        <v>86</v>
      </c>
      <c r="P18" s="35">
        <f>IFERROR(SUM(B6-SUM(D10:D23)),0)</f>
        <v>0</v>
      </c>
    </row>
    <row r="19" spans="1:16" x14ac:dyDescent="0.25">
      <c r="A19" s="58"/>
      <c r="B19" s="31"/>
      <c r="C19" s="31"/>
      <c r="D19" s="48" t="str">
        <f>IFERROR(C19*INDEX('Data Points'!$B$2:$B$16,MATCH(B19,'Data Points'!$A$2:$A$16,0)),"")</f>
        <v/>
      </c>
      <c r="E19" s="85"/>
      <c r="F19" s="36"/>
      <c r="G19" s="271"/>
    </row>
    <row r="20" spans="1:16" x14ac:dyDescent="0.25">
      <c r="A20" s="58"/>
      <c r="B20" s="31"/>
      <c r="C20" s="31"/>
      <c r="D20" s="48" t="str">
        <f>IFERROR(C20*INDEX('Data Points'!$B$2:$B$16,MATCH(B20,'Data Points'!$A$2:$A$16,0)),"")</f>
        <v/>
      </c>
      <c r="E20" s="85"/>
      <c r="F20" s="36"/>
      <c r="G20" s="271"/>
    </row>
    <row r="21" spans="1:16" x14ac:dyDescent="0.25">
      <c r="A21" s="58"/>
      <c r="B21" s="31"/>
      <c r="C21" s="31"/>
      <c r="D21" s="48" t="str">
        <f>IFERROR(C21*INDEX('Data Points'!$B$2:$B$16,MATCH(B21,'Data Points'!$A$2:$A$16,0)),"")</f>
        <v/>
      </c>
      <c r="E21" s="85"/>
      <c r="F21" s="36"/>
      <c r="G21" s="271"/>
    </row>
    <row r="22" spans="1:16" x14ac:dyDescent="0.25">
      <c r="A22" s="58"/>
      <c r="B22" s="31"/>
      <c r="C22" s="31"/>
      <c r="D22" s="48" t="str">
        <f>IFERROR(C22*INDEX('Data Points'!$B$2:$B$16,MATCH(B22,'Data Points'!$A$2:$A$16,0)),"")</f>
        <v/>
      </c>
      <c r="E22" s="85"/>
      <c r="F22" s="36"/>
      <c r="G22" s="271"/>
    </row>
    <row r="23" spans="1:16" x14ac:dyDescent="0.25">
      <c r="A23" s="58"/>
      <c r="B23" s="31"/>
      <c r="C23" s="31"/>
      <c r="D23" s="48" t="str">
        <f>IFERROR(C23*INDEX('Data Points'!$B$2:$B$16,MATCH(B23,'Data Points'!$A$2:$A$16,0)),"")</f>
        <v/>
      </c>
      <c r="E23" s="85"/>
      <c r="F23" s="36"/>
      <c r="G23" s="271"/>
    </row>
    <row r="24" spans="1:16" x14ac:dyDescent="0.25">
      <c r="A24" s="294"/>
      <c r="B24" s="295"/>
      <c r="C24" s="295"/>
      <c r="D24" s="53"/>
      <c r="E24" s="54"/>
      <c r="F24" s="36"/>
      <c r="G24" s="271"/>
    </row>
    <row r="25" spans="1:16" ht="13.8" thickBot="1" x14ac:dyDescent="0.3">
      <c r="A25" s="292" t="s">
        <v>33</v>
      </c>
      <c r="B25" s="293"/>
      <c r="C25" s="293"/>
      <c r="D25" s="50">
        <f>IFERROR(P18/P17,0)</f>
        <v>0</v>
      </c>
      <c r="E25" s="55" t="s">
        <v>80</v>
      </c>
      <c r="F25" s="36"/>
      <c r="G25" s="271"/>
    </row>
    <row r="26" spans="1:16" ht="13.8" thickBot="1" x14ac:dyDescent="0.3">
      <c r="A26" s="56"/>
      <c r="B26" s="56"/>
      <c r="C26" s="56"/>
      <c r="D26" s="56"/>
      <c r="E26" s="56"/>
      <c r="F26" s="36"/>
      <c r="G26" s="52"/>
    </row>
    <row r="27" spans="1:16" s="12" customFormat="1" ht="17.399999999999999" x14ac:dyDescent="0.3">
      <c r="A27" s="4" t="s">
        <v>82</v>
      </c>
      <c r="B27" s="5"/>
      <c r="C27" s="5"/>
      <c r="D27" s="5"/>
      <c r="E27" s="6"/>
      <c r="G27" s="280"/>
      <c r="I27" s="23"/>
      <c r="J27" s="23"/>
      <c r="K27" s="34"/>
    </row>
    <row r="28" spans="1:16" s="12" customFormat="1" x14ac:dyDescent="0.25">
      <c r="A28" s="7" t="s">
        <v>4</v>
      </c>
      <c r="B28" s="20"/>
      <c r="C28" s="1" t="s">
        <v>39</v>
      </c>
      <c r="D28" s="1"/>
      <c r="E28" s="8"/>
      <c r="G28" s="281"/>
      <c r="I28" s="23"/>
      <c r="J28" s="23"/>
      <c r="K28" s="34"/>
    </row>
    <row r="29" spans="1:16" s="12" customFormat="1" x14ac:dyDescent="0.25">
      <c r="A29" s="7" t="s">
        <v>1</v>
      </c>
      <c r="B29" s="20"/>
      <c r="C29" s="1" t="s">
        <v>40</v>
      </c>
      <c r="D29" s="1"/>
      <c r="E29" s="8"/>
      <c r="G29" s="281"/>
      <c r="I29" s="23"/>
      <c r="J29" s="23"/>
      <c r="K29" s="34"/>
    </row>
    <row r="30" spans="1:16" s="12" customFormat="1" x14ac:dyDescent="0.25">
      <c r="A30" s="9"/>
      <c r="B30" s="1"/>
      <c r="C30" s="1"/>
      <c r="D30" s="1"/>
      <c r="E30" s="8"/>
      <c r="G30" s="281"/>
      <c r="I30" s="23"/>
      <c r="J30" s="23"/>
      <c r="K30" s="34"/>
    </row>
    <row r="31" spans="1:16" s="12" customFormat="1" x14ac:dyDescent="0.25">
      <c r="A31" s="84" t="s">
        <v>83</v>
      </c>
      <c r="B31" s="29"/>
      <c r="C31" s="29"/>
      <c r="D31" s="29"/>
      <c r="E31" s="94"/>
      <c r="G31" s="281"/>
      <c r="I31" s="23"/>
      <c r="J31" s="23"/>
      <c r="K31" s="34"/>
    </row>
    <row r="32" spans="1:16" s="12" customFormat="1" ht="13.8" thickBot="1" x14ac:dyDescent="0.3">
      <c r="A32" s="27" t="s">
        <v>61</v>
      </c>
      <c r="B32" s="241">
        <f>IFERROR(IF((B29*P17-P18)/SUM(B28-B29)&lt;=0,"XXX",ROUNDUP((B29*P17-P18)/SUM(B28-B29),0)),0)</f>
        <v>0</v>
      </c>
      <c r="C32" s="11" t="s">
        <v>60</v>
      </c>
      <c r="D32" s="28">
        <f>B28</f>
        <v>0</v>
      </c>
      <c r="E32" s="93" t="s">
        <v>5</v>
      </c>
      <c r="G32" s="282"/>
      <c r="I32" s="23"/>
      <c r="J32" s="23"/>
      <c r="K32" s="34"/>
    </row>
    <row r="33" spans="1:12" s="12" customFormat="1" ht="13.8" thickBot="1" x14ac:dyDescent="0.3">
      <c r="A33" s="3"/>
      <c r="B33" s="14"/>
      <c r="C33" s="14"/>
      <c r="D33" s="14"/>
      <c r="E33" s="14"/>
      <c r="F33" s="36"/>
      <c r="J33" s="23"/>
      <c r="K33" s="23"/>
    </row>
    <row r="34" spans="1:12" s="12" customFormat="1" ht="17.399999999999999" x14ac:dyDescent="0.3">
      <c r="A34" s="4" t="s">
        <v>198</v>
      </c>
      <c r="B34" s="5"/>
      <c r="C34" s="5"/>
      <c r="D34" s="5"/>
      <c r="E34" s="6"/>
      <c r="G34" s="271"/>
      <c r="J34" s="23"/>
      <c r="K34" s="23"/>
    </row>
    <row r="35" spans="1:12" s="12" customFormat="1" x14ac:dyDescent="0.25">
      <c r="A35" s="7" t="s">
        <v>0</v>
      </c>
      <c r="B35" s="19"/>
      <c r="C35" s="1" t="s">
        <v>199</v>
      </c>
      <c r="D35" s="1"/>
      <c r="E35" s="8"/>
      <c r="G35" s="271"/>
      <c r="J35" s="23"/>
      <c r="K35" s="23"/>
      <c r="L35" s="34"/>
    </row>
    <row r="36" spans="1:12" s="12" customFormat="1" ht="12.75" customHeight="1" x14ac:dyDescent="0.25">
      <c r="A36" s="7" t="s">
        <v>1</v>
      </c>
      <c r="B36" s="20"/>
      <c r="C36" s="1" t="s">
        <v>200</v>
      </c>
      <c r="D36" s="1"/>
      <c r="E36" s="8"/>
      <c r="G36" s="271"/>
      <c r="J36" s="26"/>
      <c r="K36" s="26"/>
      <c r="L36" s="34"/>
    </row>
    <row r="37" spans="1:12" s="12" customFormat="1" x14ac:dyDescent="0.25">
      <c r="A37" s="96" t="s">
        <v>3</v>
      </c>
      <c r="B37" s="97" t="str">
        <f>IF(B35="","",B35)</f>
        <v/>
      </c>
      <c r="C37" s="2" t="s">
        <v>201</v>
      </c>
      <c r="D37" s="98">
        <f>IFERROR(SUM(SUM(P17+B35)*B36-P18)/B35,0)</f>
        <v>0</v>
      </c>
      <c r="E37" s="8"/>
      <c r="G37" s="271"/>
      <c r="J37" s="23"/>
      <c r="K37" s="23"/>
      <c r="L37" s="34"/>
    </row>
    <row r="38" spans="1:12" s="12" customFormat="1" ht="13.8" thickBot="1" x14ac:dyDescent="0.3">
      <c r="A38" s="10"/>
      <c r="B38" s="11"/>
      <c r="C38" s="11"/>
      <c r="D38" s="11"/>
      <c r="E38" s="93"/>
      <c r="G38" s="271"/>
      <c r="J38" s="23"/>
      <c r="K38" s="23"/>
      <c r="L38" s="34"/>
    </row>
    <row r="39" spans="1:12" x14ac:dyDescent="0.25">
      <c r="B39" s="129" t="str">
        <f>IF(B32="XXX","Error: Can't reach required GPA with this projected GPA! Aim higher!!","")</f>
        <v/>
      </c>
    </row>
    <row r="40" spans="1:12" s="12" customFormat="1" x14ac:dyDescent="0.25">
      <c r="A40" s="59" t="s">
        <v>10</v>
      </c>
      <c r="B40" s="59"/>
      <c r="C40" s="59"/>
      <c r="D40" s="59"/>
      <c r="E40" s="59"/>
      <c r="F40" s="59"/>
      <c r="G40" s="59"/>
      <c r="J40" s="23"/>
      <c r="K40" s="23"/>
      <c r="L40" s="34"/>
    </row>
    <row r="41" spans="1:12" s="12" customFormat="1" x14ac:dyDescent="0.25">
      <c r="A41" s="283"/>
      <c r="B41" s="284"/>
      <c r="C41" s="284"/>
      <c r="D41" s="284"/>
      <c r="E41" s="284"/>
      <c r="F41" s="284"/>
      <c r="G41" s="285"/>
      <c r="J41" s="23"/>
      <c r="K41" s="23"/>
      <c r="L41" s="34"/>
    </row>
    <row r="42" spans="1:12" s="12" customFormat="1" x14ac:dyDescent="0.25">
      <c r="A42" s="286"/>
      <c r="B42" s="287"/>
      <c r="C42" s="287"/>
      <c r="D42" s="287"/>
      <c r="E42" s="287"/>
      <c r="F42" s="287"/>
      <c r="G42" s="288"/>
      <c r="J42" s="23"/>
      <c r="K42" s="23"/>
      <c r="L42" s="34"/>
    </row>
    <row r="43" spans="1:12" s="12" customFormat="1" x14ac:dyDescent="0.25">
      <c r="A43" s="286"/>
      <c r="B43" s="287"/>
      <c r="C43" s="287"/>
      <c r="D43" s="287"/>
      <c r="E43" s="287"/>
      <c r="F43" s="287"/>
      <c r="G43" s="288"/>
      <c r="J43" s="23"/>
      <c r="K43" s="23"/>
      <c r="L43" s="34"/>
    </row>
    <row r="44" spans="1:12" s="12" customFormat="1" x14ac:dyDescent="0.25">
      <c r="A44" s="286"/>
      <c r="B44" s="287"/>
      <c r="C44" s="287"/>
      <c r="D44" s="287"/>
      <c r="E44" s="287"/>
      <c r="F44" s="287"/>
      <c r="G44" s="288"/>
      <c r="J44" s="23"/>
      <c r="K44" s="23"/>
      <c r="L44" s="34"/>
    </row>
    <row r="45" spans="1:12" s="12" customFormat="1" x14ac:dyDescent="0.25">
      <c r="A45" s="286"/>
      <c r="B45" s="287"/>
      <c r="C45" s="287"/>
      <c r="D45" s="287"/>
      <c r="E45" s="287"/>
      <c r="F45" s="287"/>
      <c r="G45" s="288"/>
      <c r="J45" s="23"/>
      <c r="K45" s="23"/>
      <c r="L45" s="34"/>
    </row>
    <row r="46" spans="1:12" s="12" customFormat="1" x14ac:dyDescent="0.25">
      <c r="A46" s="289"/>
      <c r="B46" s="290"/>
      <c r="C46" s="290"/>
      <c r="D46" s="290"/>
      <c r="E46" s="290"/>
      <c r="F46" s="290"/>
      <c r="G46" s="291"/>
      <c r="J46" s="23"/>
      <c r="K46" s="23"/>
      <c r="L46" s="34"/>
    </row>
  </sheetData>
  <sheetProtection sheet="1" objects="1" scenarios="1"/>
  <mergeCells count="9">
    <mergeCell ref="B1:D1"/>
    <mergeCell ref="B2:D2"/>
    <mergeCell ref="O4:P15"/>
    <mergeCell ref="A41:G46"/>
    <mergeCell ref="G8:G25"/>
    <mergeCell ref="A24:C24"/>
    <mergeCell ref="A25:C25"/>
    <mergeCell ref="G27:G32"/>
    <mergeCell ref="G34:G38"/>
  </mergeCells>
  <conditionalFormatting sqref="D24">
    <cfRule type="cellIs" dxfId="21" priority="7" operator="greaterThan">
      <formula>4</formula>
    </cfRule>
  </conditionalFormatting>
  <conditionalFormatting sqref="D25">
    <cfRule type="cellIs" dxfId="20" priority="8" operator="greaterThan">
      <formula>4</formula>
    </cfRule>
  </conditionalFormatting>
  <conditionalFormatting sqref="B32">
    <cfRule type="cellIs" dxfId="19" priority="3" operator="equal">
      <formula>"XXX"</formula>
    </cfRule>
  </conditionalFormatting>
  <conditionalFormatting sqref="D5:D6">
    <cfRule type="cellIs" dxfId="18" priority="2" operator="greaterThan">
      <formula>4</formula>
    </cfRule>
  </conditionalFormatting>
  <conditionalFormatting sqref="D37">
    <cfRule type="cellIs" dxfId="17" priority="1" operator="greaterThan">
      <formula>4</formula>
    </cfRule>
  </conditionalFormatting>
  <pageMargins left="0.25" right="0.25" top="0.75" bottom="0.75" header="0.3" footer="0.3"/>
  <pageSetup orientation="portrait" r:id="rId1"/>
  <headerFooter>
    <oddHeader>&amp;C&amp;"Arial,Bold"&amp;14GPA Estimate</oddHeader>
    <oddFooter>&amp;CPLEASE NOTE: These *tentative-only* calculations are being performed based on the assumption that you may be eligible for Academic Fresh Start. If you are found to be ineligible, the above estimates will be null and void.</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error="Don't enter grades of P, W, N, or I here since it will confuse the GPA calculator; leave this and the hours spaces blank. You can note this info in the Notes section instead." xr:uid="{00000000-0002-0000-0600-000000000000}">
          <x14:formula1>
            <xm:f>'Data Points'!$A$2:$A$13</xm:f>
          </x14:formula1>
          <xm:sqref>B10:B23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35"/>
  <sheetViews>
    <sheetView zoomScale="115" zoomScaleNormal="115" workbookViewId="0">
      <selection activeCell="H17" sqref="H17"/>
    </sheetView>
  </sheetViews>
  <sheetFormatPr defaultColWidth="9.109375" defaultRowHeight="13.2" x14ac:dyDescent="0.25"/>
  <cols>
    <col min="1" max="1" width="22.6640625" style="12" customWidth="1"/>
    <col min="2" max="2" width="8.109375" style="12" bestFit="1" customWidth="1"/>
    <col min="3" max="3" width="6" style="12" customWidth="1"/>
    <col min="4" max="4" width="7" style="12" customWidth="1"/>
    <col min="5" max="5" width="19.88671875" style="12" customWidth="1"/>
    <col min="6" max="6" width="32.6640625" style="12" customWidth="1"/>
    <col min="7" max="7" width="3" style="12" customWidth="1"/>
    <col min="8" max="8" width="24.88671875" style="12" customWidth="1"/>
    <col min="9" max="16384" width="9.109375" style="12"/>
  </cols>
  <sheetData>
    <row r="1" spans="1:8" ht="12.75" customHeight="1" x14ac:dyDescent="0.25">
      <c r="A1" s="15" t="s">
        <v>6</v>
      </c>
      <c r="B1" s="178" t="str">
        <f>IF('Start Here!'!$B$2&lt;&gt;"",'Start Here!'!$B$2,"")</f>
        <v/>
      </c>
      <c r="C1" s="178"/>
      <c r="D1" s="178"/>
      <c r="E1" s="89" t="s">
        <v>8</v>
      </c>
      <c r="F1" s="81" t="str">
        <f>IF('Start Here!'!$G$2&lt;&gt;"",'Start Here!'!$G$2,"")</f>
        <v/>
      </c>
    </row>
    <row r="2" spans="1:8" x14ac:dyDescent="0.25">
      <c r="A2" s="2" t="s">
        <v>7</v>
      </c>
      <c r="B2" s="254" t="str">
        <f>IF('Start Here!'!$B$3&lt;&gt;"",'Start Here!'!$B$3,"")</f>
        <v/>
      </c>
      <c r="C2" s="254"/>
      <c r="D2" s="254"/>
      <c r="E2" s="90" t="s">
        <v>9</v>
      </c>
      <c r="F2" s="81" t="str">
        <f>IF('Start Here!'!$G$3&lt;&gt;"",'Start Here!'!$G$3,"")</f>
        <v/>
      </c>
    </row>
    <row r="3" spans="1:8" ht="13.8" thickBot="1" x14ac:dyDescent="0.3">
      <c r="H3" s="36"/>
    </row>
    <row r="4" spans="1:8" ht="17.399999999999999" x14ac:dyDescent="0.3">
      <c r="A4" s="139" t="s">
        <v>207</v>
      </c>
      <c r="B4" s="5"/>
      <c r="C4" s="137"/>
      <c r="D4" s="5"/>
      <c r="E4" s="138"/>
      <c r="F4" s="328" t="s">
        <v>208</v>
      </c>
      <c r="H4" s="23"/>
    </row>
    <row r="5" spans="1:8" x14ac:dyDescent="0.25">
      <c r="A5" s="141" t="s">
        <v>178</v>
      </c>
      <c r="B5" s="236"/>
      <c r="D5" s="237" t="e">
        <f>B6/B5</f>
        <v>#DIV/0!</v>
      </c>
      <c r="E5" s="140" t="s">
        <v>177</v>
      </c>
      <c r="F5" s="328"/>
      <c r="H5" s="23"/>
    </row>
    <row r="6" spans="1:8" ht="13.5" customHeight="1" thickBot="1" x14ac:dyDescent="0.3">
      <c r="A6" s="131" t="s">
        <v>179</v>
      </c>
      <c r="B6" s="235"/>
      <c r="C6" s="14"/>
      <c r="D6" s="132"/>
      <c r="E6" s="133"/>
      <c r="F6" s="328"/>
      <c r="H6" s="23"/>
    </row>
    <row r="7" spans="1:8" ht="13.8" thickBot="1" x14ac:dyDescent="0.3">
      <c r="A7" s="3"/>
      <c r="B7" s="14"/>
      <c r="C7" s="14"/>
      <c r="D7" s="14"/>
      <c r="E7" s="14"/>
      <c r="F7" s="14"/>
      <c r="H7" s="16"/>
    </row>
    <row r="8" spans="1:8" ht="17.399999999999999" x14ac:dyDescent="0.3">
      <c r="A8" s="4" t="s">
        <v>194</v>
      </c>
      <c r="B8" s="5"/>
      <c r="C8" s="5"/>
      <c r="D8" s="5"/>
      <c r="E8" s="253" t="s">
        <v>195</v>
      </c>
      <c r="F8" s="6"/>
      <c r="H8" s="16"/>
    </row>
    <row r="9" spans="1:8" x14ac:dyDescent="0.25">
      <c r="A9" s="238" t="s">
        <v>186</v>
      </c>
      <c r="B9" s="236"/>
      <c r="C9" s="102" t="s">
        <v>187</v>
      </c>
      <c r="D9" s="1"/>
      <c r="E9" s="2"/>
      <c r="F9" s="8"/>
      <c r="H9" s="16"/>
    </row>
    <row r="10" spans="1:8" ht="13.8" thickBot="1" x14ac:dyDescent="0.3">
      <c r="A10" s="240" t="s">
        <v>190</v>
      </c>
      <c r="B10" s="241">
        <f>IF(ROUNDUP((B5+B9)*0.67-B6,0)&gt;D10,"****",ROUNDUP((B5+B9)*0.67-B6,0))</f>
        <v>0</v>
      </c>
      <c r="C10" s="239" t="s">
        <v>188</v>
      </c>
      <c r="D10" s="241">
        <f>B9</f>
        <v>0</v>
      </c>
      <c r="E10" s="239" t="s">
        <v>189</v>
      </c>
      <c r="F10" s="243"/>
      <c r="H10" s="16"/>
    </row>
    <row r="11" spans="1:8" ht="17.399999999999999" x14ac:dyDescent="0.3">
      <c r="A11" s="244" t="s">
        <v>183</v>
      </c>
      <c r="B11" s="137"/>
      <c r="C11" s="137"/>
      <c r="D11" s="137"/>
      <c r="E11" s="246"/>
      <c r="F11" s="245" t="str">
        <f>IF(B10="****","Cannot reach 67% in 1 semester","Can reach 67% in 1 semester")</f>
        <v>Can reach 67% in 1 semester</v>
      </c>
      <c r="H11" s="16"/>
    </row>
    <row r="12" spans="1:8" x14ac:dyDescent="0.25">
      <c r="A12" s="251" t="str">
        <f>IF(LEFT(F11,4)="Can ","You can reach 67% in 1 semester and keep your financial aid, if you are otherwise eligible.",IF(LEFT(F11,4)="Cann","You can't reach 67% this semester. You'll be on financial aid suspension until you reach a 67% pass rate. See below."))</f>
        <v>You can reach 67% in 1 semester and keep your financial aid, if you are otherwise eligible.</v>
      </c>
      <c r="B12" s="155"/>
      <c r="C12" s="155"/>
      <c r="D12" s="155"/>
      <c r="E12" s="155"/>
      <c r="F12" s="252"/>
      <c r="H12" s="16"/>
    </row>
    <row r="13" spans="1:8" x14ac:dyDescent="0.25">
      <c r="A13" s="323" t="s">
        <v>184</v>
      </c>
      <c r="B13" s="272"/>
      <c r="C13" s="272"/>
      <c r="D13" s="272"/>
      <c r="E13" s="272"/>
      <c r="F13" s="324"/>
      <c r="H13" s="16"/>
    </row>
    <row r="14" spans="1:8" ht="13.8" thickBot="1" x14ac:dyDescent="0.3">
      <c r="A14" s="325"/>
      <c r="B14" s="326"/>
      <c r="C14" s="326"/>
      <c r="D14" s="326"/>
      <c r="E14" s="326"/>
      <c r="F14" s="327"/>
      <c r="H14" s="16"/>
    </row>
    <row r="15" spans="1:8" ht="13.8" thickBot="1" x14ac:dyDescent="0.3">
      <c r="H15" s="16"/>
    </row>
    <row r="16" spans="1:8" ht="17.399999999999999" x14ac:dyDescent="0.3">
      <c r="A16" s="4" t="s">
        <v>193</v>
      </c>
      <c r="B16" s="5"/>
      <c r="C16" s="5"/>
      <c r="D16" s="5"/>
      <c r="E16" s="5"/>
      <c r="F16" s="6"/>
      <c r="H16" s="16"/>
    </row>
    <row r="17" spans="1:8" x14ac:dyDescent="0.25">
      <c r="A17" s="238" t="s">
        <v>180</v>
      </c>
      <c r="B17" s="97">
        <f>ROUNDUP(MAX((B5*67%-B6)/33%,0),0)</f>
        <v>0</v>
      </c>
      <c r="C17" s="102" t="s">
        <v>206</v>
      </c>
      <c r="D17" s="1"/>
      <c r="E17" s="2"/>
      <c r="F17" s="8"/>
      <c r="H17" s="16"/>
    </row>
    <row r="18" spans="1:8" x14ac:dyDescent="0.25">
      <c r="A18" s="247" t="s">
        <v>192</v>
      </c>
      <c r="B18" s="248">
        <f>ROUNDUP(B17/15,0)</f>
        <v>0</v>
      </c>
      <c r="C18" s="249" t="s">
        <v>191</v>
      </c>
      <c r="D18" s="29"/>
      <c r="E18" s="250"/>
      <c r="F18" s="94"/>
      <c r="H18" s="16"/>
    </row>
    <row r="19" spans="1:8" ht="12.75" customHeight="1" thickBot="1" x14ac:dyDescent="0.3">
      <c r="A19" s="240" t="s">
        <v>181</v>
      </c>
      <c r="B19" s="28">
        <f>B5+B17</f>
        <v>0</v>
      </c>
      <c r="C19" s="239" t="s">
        <v>182</v>
      </c>
      <c r="D19" s="242"/>
      <c r="E19" s="11"/>
      <c r="F19" s="243"/>
      <c r="H19" s="16"/>
    </row>
    <row r="20" spans="1:8" ht="17.399999999999999" x14ac:dyDescent="0.3">
      <c r="A20" s="244" t="s">
        <v>183</v>
      </c>
      <c r="B20" s="137"/>
      <c r="C20" s="137"/>
      <c r="D20" s="137"/>
      <c r="E20" s="246"/>
      <c r="F20" s="245" t="str">
        <f>IF(B17=0,"Already at 67% pass rate",IF($B$19&lt;168,"Might become eligible",IF($B$19&lt;180,"Possibly eligible but close to 180 hrs","Permanently ineligible")))</f>
        <v>Already at 67% pass rate</v>
      </c>
      <c r="H20" s="16"/>
    </row>
    <row r="21" spans="1:8" x14ac:dyDescent="0.25">
      <c r="A21" s="251" t="str">
        <f>IF($B$19&lt;168,"You might be able to receive financial aid once you reach a 67% pass rate, if you are otherwise eligible.",IF($B$19&lt;180,"You might be able to receive financial aid once you reach 67%, if otherwise eligible. However, you'll be close to the 180-hour limit.","You are unlikely to reach the 67% required pass rate and regain fin aid eligibility before you reach the 180-hour limit."))</f>
        <v>You might be able to receive financial aid once you reach a 67% pass rate, if you are otherwise eligible.</v>
      </c>
      <c r="B21" s="155"/>
      <c r="C21" s="155"/>
      <c r="D21" s="155"/>
      <c r="E21" s="155"/>
      <c r="F21" s="252"/>
      <c r="H21" s="16"/>
    </row>
    <row r="22" spans="1:8" x14ac:dyDescent="0.25">
      <c r="A22" s="323" t="s">
        <v>184</v>
      </c>
      <c r="B22" s="272"/>
      <c r="C22" s="272"/>
      <c r="D22" s="272"/>
      <c r="E22" s="272"/>
      <c r="F22" s="324"/>
      <c r="H22" s="16"/>
    </row>
    <row r="23" spans="1:8" ht="13.8" thickBot="1" x14ac:dyDescent="0.3">
      <c r="A23" s="325"/>
      <c r="B23" s="326"/>
      <c r="C23" s="326"/>
      <c r="D23" s="326"/>
      <c r="E23" s="326"/>
      <c r="F23" s="327"/>
      <c r="H23" s="16"/>
    </row>
    <row r="24" spans="1:8" x14ac:dyDescent="0.25">
      <c r="H24" s="16"/>
    </row>
    <row r="25" spans="1:8" x14ac:dyDescent="0.25">
      <c r="A25" s="232" t="s">
        <v>185</v>
      </c>
      <c r="B25" s="232"/>
      <c r="C25" s="232"/>
      <c r="D25" s="232"/>
      <c r="E25" s="232"/>
      <c r="F25" s="232"/>
      <c r="H25" s="16"/>
    </row>
    <row r="26" spans="1:8" x14ac:dyDescent="0.25">
      <c r="A26" s="283"/>
      <c r="B26" s="284"/>
      <c r="C26" s="284"/>
      <c r="D26" s="284"/>
      <c r="E26" s="284"/>
      <c r="F26" s="285"/>
      <c r="H26" s="16"/>
    </row>
    <row r="27" spans="1:8" x14ac:dyDescent="0.25">
      <c r="A27" s="286"/>
      <c r="B27" s="287"/>
      <c r="C27" s="287"/>
      <c r="D27" s="287"/>
      <c r="E27" s="287"/>
      <c r="F27" s="288"/>
      <c r="H27" s="16"/>
    </row>
    <row r="28" spans="1:8" x14ac:dyDescent="0.25">
      <c r="A28" s="286"/>
      <c r="B28" s="287"/>
      <c r="C28" s="287"/>
      <c r="D28" s="287"/>
      <c r="E28" s="287"/>
      <c r="F28" s="288"/>
      <c r="H28" s="16"/>
    </row>
    <row r="29" spans="1:8" x14ac:dyDescent="0.25">
      <c r="A29" s="286"/>
      <c r="B29" s="287"/>
      <c r="C29" s="287"/>
      <c r="D29" s="287"/>
      <c r="E29" s="287"/>
      <c r="F29" s="288"/>
      <c r="H29" s="16"/>
    </row>
    <row r="30" spans="1:8" ht="90.75" customHeight="1" x14ac:dyDescent="0.25">
      <c r="A30" s="286"/>
      <c r="B30" s="287"/>
      <c r="C30" s="287"/>
      <c r="D30" s="287"/>
      <c r="E30" s="287"/>
      <c r="F30" s="288"/>
    </row>
    <row r="31" spans="1:8" x14ac:dyDescent="0.25">
      <c r="A31" s="286"/>
      <c r="B31" s="287"/>
      <c r="C31" s="287"/>
      <c r="D31" s="287"/>
      <c r="E31" s="287"/>
      <c r="F31" s="288"/>
    </row>
    <row r="32" spans="1:8" x14ac:dyDescent="0.25">
      <c r="A32" s="286"/>
      <c r="B32" s="287"/>
      <c r="C32" s="287"/>
      <c r="D32" s="287"/>
      <c r="E32" s="287"/>
      <c r="F32" s="288"/>
    </row>
    <row r="33" spans="1:6" x14ac:dyDescent="0.25">
      <c r="A33" s="286"/>
      <c r="B33" s="287"/>
      <c r="C33" s="287"/>
      <c r="D33" s="287"/>
      <c r="E33" s="287"/>
      <c r="F33" s="288"/>
    </row>
    <row r="34" spans="1:6" x14ac:dyDescent="0.25">
      <c r="A34" s="286"/>
      <c r="B34" s="287"/>
      <c r="C34" s="287"/>
      <c r="D34" s="287"/>
      <c r="E34" s="287"/>
      <c r="F34" s="288"/>
    </row>
    <row r="35" spans="1:6" x14ac:dyDescent="0.25">
      <c r="A35" s="289"/>
      <c r="B35" s="290"/>
      <c r="C35" s="290"/>
      <c r="D35" s="290"/>
      <c r="E35" s="290"/>
      <c r="F35" s="291"/>
    </row>
  </sheetData>
  <sheetProtection formatCells="0" formatColumns="0" formatRows="0"/>
  <mergeCells count="4">
    <mergeCell ref="A22:F23"/>
    <mergeCell ref="A26:F35"/>
    <mergeCell ref="A13:F14"/>
    <mergeCell ref="F4:F6"/>
  </mergeCells>
  <conditionalFormatting sqref="D5:D6">
    <cfRule type="cellIs" dxfId="16" priority="16" operator="greaterThan">
      <formula>4</formula>
    </cfRule>
  </conditionalFormatting>
  <conditionalFormatting sqref="E20">
    <cfRule type="beginsWith" dxfId="15" priority="13" operator="beginsWith" text="Possibly">
      <formula>LEFT(E20,LEN("Possibly"))="Possibly"</formula>
    </cfRule>
    <cfRule type="beginsWith" dxfId="14" priority="14" operator="beginsWith" text="Might">
      <formula>LEFT(E20,LEN("Might"))="Might"</formula>
    </cfRule>
    <cfRule type="beginsWith" dxfId="13" priority="15" operator="beginsWith" text="Permanently">
      <formula>LEFT(E20,LEN("Permanently"))="Permanently"</formula>
    </cfRule>
  </conditionalFormatting>
  <conditionalFormatting sqref="F20">
    <cfRule type="beginsWith" dxfId="12" priority="10" operator="beginsWith" text="Possibly">
      <formula>LEFT(F20,LEN("Possibly"))="Possibly"</formula>
    </cfRule>
    <cfRule type="beginsWith" dxfId="11" priority="11" operator="beginsWith" text="Might">
      <formula>LEFT(F20,LEN("Might"))="Might"</formula>
    </cfRule>
    <cfRule type="beginsWith" dxfId="10" priority="12" operator="beginsWith" text="Permanently">
      <formula>LEFT(F20,LEN("Permanently"))="Permanently"</formula>
    </cfRule>
  </conditionalFormatting>
  <conditionalFormatting sqref="E11">
    <cfRule type="beginsWith" dxfId="9" priority="7" operator="beginsWith" text="Possibly">
      <formula>LEFT(E11,LEN("Possibly"))="Possibly"</formula>
    </cfRule>
    <cfRule type="beginsWith" dxfId="8" priority="8" operator="beginsWith" text="Might">
      <formula>LEFT(E11,LEN("Might"))="Might"</formula>
    </cfRule>
    <cfRule type="beginsWith" dxfId="7" priority="9" operator="beginsWith" text="Permanently">
      <formula>LEFT(E11,LEN("Permanently"))="Permanently"</formula>
    </cfRule>
  </conditionalFormatting>
  <conditionalFormatting sqref="B10">
    <cfRule type="cellIs" dxfId="6" priority="3" operator="equal">
      <formula>"****"</formula>
    </cfRule>
  </conditionalFormatting>
  <conditionalFormatting sqref="F11">
    <cfRule type="beginsWith" dxfId="5" priority="1" operator="beginsWith" text="Can't">
      <formula>LEFT(F11,LEN("Can't"))="Can't"</formula>
    </cfRule>
    <cfRule type="beginsWith" dxfId="4" priority="2" operator="beginsWith" text="Can">
      <formula>LEFT(F11,LEN("Can"))="Can"</formula>
    </cfRule>
  </conditionalFormatting>
  <printOptions horizontalCentered="1"/>
  <pageMargins left="0.25" right="0.25" top="0.25" bottom="0.25" header="0.3" footer="0.3"/>
  <pageSetup orientation="portrait" horizontalDpi="300" verticalDpi="3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8" tint="0.39997558519241921"/>
  </sheetPr>
  <dimension ref="A1:K34"/>
  <sheetViews>
    <sheetView workbookViewId="0">
      <selection activeCell="B9" sqref="B9"/>
    </sheetView>
  </sheetViews>
  <sheetFormatPr defaultColWidth="9.109375" defaultRowHeight="13.2" x14ac:dyDescent="0.25"/>
  <cols>
    <col min="1" max="1" width="25.5546875" style="12" customWidth="1"/>
    <col min="2" max="2" width="7.5546875" style="12" bestFit="1" customWidth="1"/>
    <col min="3" max="3" width="9.33203125" style="12" customWidth="1"/>
    <col min="4" max="4" width="13.33203125" style="12" customWidth="1"/>
    <col min="5" max="5" width="5.5546875" style="12" customWidth="1"/>
    <col min="6" max="6" width="13.6640625" style="12" customWidth="1"/>
    <col min="7" max="7" width="29.109375" style="12" customWidth="1"/>
    <col min="8" max="16384" width="9.109375" style="12"/>
  </cols>
  <sheetData>
    <row r="1" spans="1:11" ht="12.75" customHeight="1" x14ac:dyDescent="0.25">
      <c r="A1" s="15" t="s">
        <v>6</v>
      </c>
      <c r="B1" s="266" t="str">
        <f>IF('Start Here!'!B2:D2&lt;&gt;"",'Start Here!'!B2:D2,"")</f>
        <v/>
      </c>
      <c r="C1" s="266"/>
      <c r="D1" s="266"/>
      <c r="F1" s="83" t="s">
        <v>8</v>
      </c>
      <c r="G1" s="81" t="str">
        <f>IF('Start Here!'!G2&lt;&gt;"",'Start Here!'!G2,"")</f>
        <v/>
      </c>
      <c r="I1" s="22"/>
      <c r="J1" s="22"/>
      <c r="K1" s="34"/>
    </row>
    <row r="2" spans="1:11" x14ac:dyDescent="0.25">
      <c r="A2" s="2" t="s">
        <v>7</v>
      </c>
      <c r="B2" s="266" t="str">
        <f>IF('Start Here!'!B3:D3&lt;&gt;"",'Start Here!'!B3:D3,"")</f>
        <v/>
      </c>
      <c r="C2" s="266"/>
      <c r="D2" s="266"/>
      <c r="F2" s="83" t="s">
        <v>9</v>
      </c>
      <c r="G2" s="81" t="str">
        <f>IF('Start Here!'!G3&lt;&gt;"",'Start Here!'!G3,"")</f>
        <v/>
      </c>
      <c r="I2" s="22"/>
      <c r="J2" s="22"/>
      <c r="K2" s="35"/>
    </row>
    <row r="4" spans="1:11" ht="25.5" customHeight="1" x14ac:dyDescent="0.25">
      <c r="A4" s="279" t="s">
        <v>91</v>
      </c>
      <c r="B4" s="279"/>
      <c r="C4" s="279"/>
      <c r="D4" s="279"/>
      <c r="E4" s="279"/>
      <c r="F4" s="279"/>
      <c r="G4" s="279"/>
    </row>
    <row r="5" spans="1:11" ht="13.8" thickBot="1" x14ac:dyDescent="0.3"/>
    <row r="6" spans="1:11" ht="17.399999999999999" x14ac:dyDescent="0.3">
      <c r="A6" s="139" t="s">
        <v>87</v>
      </c>
      <c r="B6" s="137"/>
      <c r="C6" s="137"/>
      <c r="D6" s="137"/>
      <c r="E6" s="137"/>
      <c r="F6" s="138"/>
      <c r="I6" s="36"/>
    </row>
    <row r="7" spans="1:11" ht="12.75" customHeight="1" x14ac:dyDescent="0.25">
      <c r="A7" s="145" t="s">
        <v>88</v>
      </c>
      <c r="B7" s="142"/>
      <c r="F7" s="140"/>
      <c r="G7" s="144"/>
      <c r="H7" s="144"/>
      <c r="I7" s="144"/>
    </row>
    <row r="8" spans="1:11" x14ac:dyDescent="0.25">
      <c r="A8" s="146"/>
      <c r="F8" s="140"/>
    </row>
    <row r="9" spans="1:11" ht="13.8" thickBot="1" x14ac:dyDescent="0.3">
      <c r="A9" s="126" t="s">
        <v>92</v>
      </c>
      <c r="B9" s="50">
        <f>7.75-B7/25</f>
        <v>7.75</v>
      </c>
      <c r="C9" s="14" t="s">
        <v>93</v>
      </c>
      <c r="D9" s="14"/>
      <c r="E9" s="14"/>
      <c r="F9" s="133"/>
      <c r="G9" s="144"/>
      <c r="H9" s="144"/>
      <c r="I9" s="144"/>
    </row>
    <row r="11" spans="1:11" ht="13.8" thickBot="1" x14ac:dyDescent="0.3">
      <c r="G11" s="36"/>
    </row>
    <row r="12" spans="1:11" ht="17.399999999999999" x14ac:dyDescent="0.3">
      <c r="A12" s="139" t="s">
        <v>89</v>
      </c>
      <c r="B12" s="68"/>
      <c r="C12" s="137"/>
      <c r="D12" s="137"/>
      <c r="E12" s="137"/>
      <c r="F12" s="138"/>
    </row>
    <row r="13" spans="1:11" x14ac:dyDescent="0.25">
      <c r="A13" s="147" t="s">
        <v>90</v>
      </c>
      <c r="B13" s="143">
        <f>'Start Here!'!C6</f>
        <v>0</v>
      </c>
      <c r="F13" s="140"/>
    </row>
    <row r="14" spans="1:11" x14ac:dyDescent="0.25">
      <c r="A14" s="146"/>
      <c r="F14" s="140"/>
    </row>
    <row r="15" spans="1:11" ht="13.8" thickBot="1" x14ac:dyDescent="0.3">
      <c r="A15" s="126" t="s">
        <v>94</v>
      </c>
      <c r="B15" s="50">
        <f>SUM(7.75-B13)*25</f>
        <v>193.75</v>
      </c>
      <c r="C15" s="14" t="s">
        <v>93</v>
      </c>
      <c r="D15" s="14"/>
      <c r="E15" s="14"/>
      <c r="F15" s="133"/>
    </row>
    <row r="17" spans="1:7" ht="13.8" thickBot="1" x14ac:dyDescent="0.3"/>
    <row r="18" spans="1:7" ht="17.399999999999999" x14ac:dyDescent="0.3">
      <c r="A18" s="139" t="s">
        <v>95</v>
      </c>
      <c r="B18" s="68"/>
      <c r="C18" s="137"/>
      <c r="D18" s="137"/>
      <c r="E18" s="137"/>
      <c r="F18" s="138"/>
    </row>
    <row r="19" spans="1:7" x14ac:dyDescent="0.25">
      <c r="A19" s="147" t="s">
        <v>96</v>
      </c>
      <c r="B19" s="162">
        <v>4</v>
      </c>
      <c r="F19" s="140"/>
    </row>
    <row r="20" spans="1:7" x14ac:dyDescent="0.25">
      <c r="A20" s="146"/>
      <c r="F20" s="140"/>
    </row>
    <row r="21" spans="1:7" ht="13.8" thickBot="1" x14ac:dyDescent="0.3">
      <c r="A21" s="126" t="s">
        <v>94</v>
      </c>
      <c r="B21" s="50">
        <f>SUM(7.75-B19)*25</f>
        <v>93.75</v>
      </c>
      <c r="C21" s="14" t="s">
        <v>93</v>
      </c>
      <c r="D21" s="14"/>
      <c r="E21" s="14"/>
      <c r="F21" s="133"/>
    </row>
    <row r="23" spans="1:7" ht="25.5" customHeight="1" x14ac:dyDescent="0.25">
      <c r="A23" s="329" t="s">
        <v>97</v>
      </c>
      <c r="B23" s="329"/>
      <c r="C23" s="329"/>
      <c r="D23" s="329"/>
      <c r="E23" s="329"/>
      <c r="F23" s="329"/>
      <c r="G23" s="329"/>
    </row>
    <row r="26" spans="1:7" ht="17.399999999999999" x14ac:dyDescent="0.3">
      <c r="A26" s="159" t="s">
        <v>140</v>
      </c>
    </row>
    <row r="27" spans="1:7" ht="14.4" x14ac:dyDescent="0.3">
      <c r="A27" s="191" t="s">
        <v>137</v>
      </c>
      <c r="B27" s="192" t="s">
        <v>42</v>
      </c>
      <c r="C27" s="192" t="s">
        <v>12</v>
      </c>
      <c r="D27" s="192" t="s">
        <v>138</v>
      </c>
      <c r="E27" s="191"/>
      <c r="F27" s="191"/>
    </row>
    <row r="28" spans="1:7" x14ac:dyDescent="0.25">
      <c r="A28" s="193"/>
      <c r="B28" s="193"/>
      <c r="C28" s="193"/>
      <c r="D28" s="194" t="str">
        <f>IFERROR(C28/B28,"")</f>
        <v/>
      </c>
      <c r="E28"/>
      <c r="F28" t="s">
        <v>141</v>
      </c>
    </row>
    <row r="29" spans="1:7" x14ac:dyDescent="0.25">
      <c r="A29" s="193"/>
      <c r="B29" s="193"/>
      <c r="C29" s="193"/>
      <c r="D29" s="194" t="str">
        <f t="shared" ref="D29:D33" si="0">IFERROR(C29/B29,"")</f>
        <v/>
      </c>
      <c r="E29"/>
      <c r="F29" t="s">
        <v>142</v>
      </c>
    </row>
    <row r="30" spans="1:7" x14ac:dyDescent="0.25">
      <c r="A30" s="193"/>
      <c r="B30" s="193"/>
      <c r="C30" s="193"/>
      <c r="D30" s="194" t="str">
        <f t="shared" si="0"/>
        <v/>
      </c>
      <c r="E30"/>
      <c r="F30"/>
    </row>
    <row r="31" spans="1:7" x14ac:dyDescent="0.25">
      <c r="A31" s="193"/>
      <c r="B31" s="193"/>
      <c r="C31" s="193"/>
      <c r="D31" s="194" t="str">
        <f t="shared" si="0"/>
        <v/>
      </c>
      <c r="E31"/>
      <c r="F31"/>
    </row>
    <row r="32" spans="1:7" x14ac:dyDescent="0.25">
      <c r="A32" s="193"/>
      <c r="B32" s="193"/>
      <c r="C32" s="193"/>
      <c r="D32" s="194" t="str">
        <f t="shared" si="0"/>
        <v/>
      </c>
      <c r="E32"/>
      <c r="F32"/>
    </row>
    <row r="33" spans="1:6" x14ac:dyDescent="0.25">
      <c r="A33" s="193"/>
      <c r="B33" s="193"/>
      <c r="C33" s="193"/>
      <c r="D33" s="194" t="str">
        <f t="shared" si="0"/>
        <v/>
      </c>
      <c r="E33"/>
      <c r="F33"/>
    </row>
    <row r="34" spans="1:6" ht="14.4" x14ac:dyDescent="0.3">
      <c r="A34" s="195" t="s">
        <v>139</v>
      </c>
      <c r="B34" s="196">
        <f>SUM(B28:B33)</f>
        <v>0</v>
      </c>
      <c r="C34" s="196">
        <f>SUM(C28:C33)</f>
        <v>0</v>
      </c>
      <c r="D34" s="197" t="e">
        <f>C34/B34</f>
        <v>#DIV/0!</v>
      </c>
      <c r="E34" s="191"/>
      <c r="F34" s="191"/>
    </row>
  </sheetData>
  <sheetProtection sheet="1" objects="1" scenarios="1"/>
  <mergeCells count="4">
    <mergeCell ref="B1:D1"/>
    <mergeCell ref="B2:D2"/>
    <mergeCell ref="A4:G4"/>
    <mergeCell ref="A23:G23"/>
  </mergeCells>
  <conditionalFormatting sqref="B13">
    <cfRule type="cellIs" dxfId="3" priority="5" operator="greaterThan">
      <formula>4</formula>
    </cfRule>
  </conditionalFormatting>
  <conditionalFormatting sqref="B9">
    <cfRule type="cellIs" dxfId="2" priority="4" operator="greaterThan">
      <formula>4</formula>
    </cfRule>
  </conditionalFormatting>
  <conditionalFormatting sqref="B15">
    <cfRule type="cellIs" dxfId="1" priority="3" operator="greaterThan">
      <formula>100</formula>
    </cfRule>
  </conditionalFormatting>
  <conditionalFormatting sqref="B21">
    <cfRule type="cellIs" dxfId="0" priority="1" operator="greaterThan">
      <formula>100</formula>
    </cfRule>
  </conditionalFormatting>
  <pageMargins left="0.25" right="0.25" top="0.75" bottom="0.75" header="0.3" footer="0.3"/>
  <pageSetup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8</vt:i4>
      </vt:variant>
    </vt:vector>
  </HeadingPairs>
  <TitlesOfParts>
    <vt:vector size="18" baseType="lpstr">
      <vt:lpstr>Start Here!</vt:lpstr>
      <vt:lpstr>GPA Goals</vt:lpstr>
      <vt:lpstr>Repeats</vt:lpstr>
      <vt:lpstr>Major-Minor</vt:lpstr>
      <vt:lpstr>Lottery</vt:lpstr>
      <vt:lpstr>Manual calc</vt:lpstr>
      <vt:lpstr>Fresh Start</vt:lpstr>
      <vt:lpstr>FinAid %</vt:lpstr>
      <vt:lpstr>Nursing</vt:lpstr>
      <vt:lpstr>Data Points</vt:lpstr>
      <vt:lpstr>'FinAid %'!Print_Area</vt:lpstr>
      <vt:lpstr>'Fresh Start'!Print_Area</vt:lpstr>
      <vt:lpstr>'GPA Goals'!Print_Area</vt:lpstr>
      <vt:lpstr>Lottery!Print_Area</vt:lpstr>
      <vt:lpstr>'Major-Minor'!Print_Area</vt:lpstr>
      <vt:lpstr>'Manual calc'!Print_Area</vt:lpstr>
      <vt:lpstr>Nursing!Print_Area</vt:lpstr>
      <vt:lpstr>Repeats!Print_Area</vt:lpstr>
    </vt:vector>
  </TitlesOfParts>
  <Company>Middle Tennessee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McCarty</dc:creator>
  <cp:lastModifiedBy>Bryanna Licciardi</cp:lastModifiedBy>
  <cp:lastPrinted>2022-01-20T21:07:44Z</cp:lastPrinted>
  <dcterms:created xsi:type="dcterms:W3CDTF">2013-04-08T14:20:18Z</dcterms:created>
  <dcterms:modified xsi:type="dcterms:W3CDTF">2022-01-21T15:35:37Z</dcterms:modified>
</cp:coreProperties>
</file>